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9155" windowHeight="11820"/>
  </bookViews>
  <sheets>
    <sheet name="Toilet Information" sheetId="1" r:id="rId1"/>
    <sheet name="Totals" sheetId="5" r:id="rId2"/>
    <sheet name="Count Number (Actual)" sheetId="11" r:id="rId3"/>
    <sheet name="Utility Costs" sheetId="10" r:id="rId4"/>
    <sheet name="Open &amp; Close" sheetId="4" r:id="rId5"/>
    <sheet name="Cleaning Times" sheetId="3" r:id="rId6"/>
  </sheets>
  <externalReferences>
    <externalReference r:id="rId7"/>
  </externalReferences>
  <definedNames>
    <definedName name="_xlnm._FilterDatabase" localSheetId="0" hidden="1">'Toilet Information'!$A$2:$J$2</definedName>
    <definedName name="_xlnm._FilterDatabase" localSheetId="1" hidden="1">Totals!$A$3:$Q$94</definedName>
  </definedNames>
  <calcPr calcId="125725"/>
</workbook>
</file>

<file path=xl/calcChain.xml><?xml version="1.0" encoding="utf-8"?>
<calcChain xmlns="http://schemas.openxmlformats.org/spreadsheetml/2006/main">
  <c r="K13" i="11"/>
  <c r="K14"/>
  <c r="K15"/>
  <c r="K16"/>
  <c r="K17"/>
  <c r="K18"/>
  <c r="K19"/>
  <c r="K20"/>
  <c r="K21"/>
  <c r="K22"/>
  <c r="K23"/>
  <c r="K25"/>
  <c r="I41" i="5" s="1"/>
  <c r="I4" i="11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5"/>
  <c r="I28" i="5" s="1"/>
  <c r="I9" s="1"/>
  <c r="J7" s="1"/>
  <c r="D4" i="11"/>
  <c r="D5"/>
  <c r="D25" s="1"/>
  <c r="D6"/>
  <c r="D7"/>
  <c r="D8"/>
  <c r="D9"/>
  <c r="D10"/>
  <c r="D11"/>
  <c r="D12"/>
  <c r="D13"/>
  <c r="D14"/>
  <c r="D15"/>
  <c r="D16"/>
  <c r="D17"/>
  <c r="D18"/>
  <c r="D19"/>
  <c r="D20"/>
  <c r="D21"/>
  <c r="D22"/>
  <c r="D23"/>
  <c r="G13"/>
  <c r="G25" s="1"/>
  <c r="G14"/>
  <c r="G15"/>
  <c r="G16"/>
  <c r="G17"/>
  <c r="G18"/>
  <c r="G19"/>
  <c r="G20"/>
  <c r="G21"/>
  <c r="G22"/>
  <c r="G23"/>
  <c r="H4"/>
  <c r="H5"/>
  <c r="H25" s="1"/>
  <c r="H6"/>
  <c r="H7"/>
  <c r="H8"/>
  <c r="H9"/>
  <c r="H10"/>
  <c r="H11"/>
  <c r="H12"/>
  <c r="H13"/>
  <c r="H14"/>
  <c r="H15"/>
  <c r="H16"/>
  <c r="H17"/>
  <c r="H18"/>
  <c r="H19"/>
  <c r="H20"/>
  <c r="H21"/>
  <c r="H22"/>
  <c r="H23"/>
  <c r="M4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5"/>
  <c r="I53" i="5" s="1"/>
  <c r="F4" i="11"/>
  <c r="F5"/>
  <c r="F25" s="1"/>
  <c r="F6"/>
  <c r="F7"/>
  <c r="F8"/>
  <c r="F9"/>
  <c r="F10"/>
  <c r="F11"/>
  <c r="F12"/>
  <c r="F13"/>
  <c r="F14"/>
  <c r="F15"/>
  <c r="F16"/>
  <c r="F17"/>
  <c r="F18"/>
  <c r="F19"/>
  <c r="F20"/>
  <c r="F21"/>
  <c r="F22"/>
  <c r="F23"/>
  <c r="J56" i="5"/>
  <c r="N56"/>
  <c r="O56" s="1"/>
  <c r="P56" s="1"/>
  <c r="Q56" s="1"/>
  <c r="L4" i="11"/>
  <c r="L5"/>
  <c r="L25" s="1"/>
  <c r="L6"/>
  <c r="L7"/>
  <c r="L8"/>
  <c r="L9"/>
  <c r="L10"/>
  <c r="L11"/>
  <c r="L12"/>
  <c r="L13"/>
  <c r="L14"/>
  <c r="L15"/>
  <c r="L16"/>
  <c r="L17"/>
  <c r="L18"/>
  <c r="L19"/>
  <c r="L20"/>
  <c r="L21"/>
  <c r="L22"/>
  <c r="L23"/>
  <c r="L32"/>
  <c r="L33"/>
  <c r="L34"/>
  <c r="L35"/>
  <c r="L36"/>
  <c r="L37"/>
  <c r="L38"/>
  <c r="L39"/>
  <c r="L40"/>
  <c r="N41"/>
  <c r="N43"/>
  <c r="N54" s="1"/>
  <c r="N44"/>
  <c r="N45"/>
  <c r="N46"/>
  <c r="N47"/>
  <c r="N48"/>
  <c r="N49"/>
  <c r="N50"/>
  <c r="N51"/>
  <c r="N42"/>
  <c r="G33"/>
  <c r="G34"/>
  <c r="G35"/>
  <c r="G36"/>
  <c r="G37"/>
  <c r="G38"/>
  <c r="G39"/>
  <c r="G40"/>
  <c r="G32"/>
  <c r="I42"/>
  <c r="I43"/>
  <c r="I54" s="1"/>
  <c r="I44"/>
  <c r="I45"/>
  <c r="I46"/>
  <c r="I47"/>
  <c r="I48"/>
  <c r="I49"/>
  <c r="I50"/>
  <c r="I51"/>
  <c r="N4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5"/>
  <c r="I35" i="5" s="1"/>
  <c r="O35" s="1"/>
  <c r="P35" s="1"/>
  <c r="Q35" s="1"/>
  <c r="E4" i="11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5"/>
  <c r="E27" s="1"/>
  <c r="E29" s="1"/>
  <c r="I27"/>
  <c r="I29"/>
  <c r="J13"/>
  <c r="J14"/>
  <c r="J15"/>
  <c r="J16"/>
  <c r="J17"/>
  <c r="J18"/>
  <c r="J19"/>
  <c r="J20"/>
  <c r="J21"/>
  <c r="J22"/>
  <c r="J23"/>
  <c r="J25"/>
  <c r="J27" s="1"/>
  <c r="J29" s="1"/>
  <c r="K27"/>
  <c r="K29"/>
  <c r="M27"/>
  <c r="M29"/>
  <c r="N27"/>
  <c r="N29"/>
  <c r="I76" i="5"/>
  <c r="J74" s="1"/>
  <c r="O22"/>
  <c r="P22" s="1"/>
  <c r="J22"/>
  <c r="N22" s="1"/>
  <c r="K56"/>
  <c r="O80"/>
  <c r="J80"/>
  <c r="J89" s="1"/>
  <c r="O89"/>
  <c r="Q89"/>
  <c r="I2" i="10"/>
  <c r="I5"/>
  <c r="I8"/>
  <c r="I11"/>
  <c r="I14"/>
  <c r="I17"/>
  <c r="I20"/>
  <c r="I23"/>
  <c r="I26"/>
  <c r="I29"/>
  <c r="I34"/>
  <c r="I37"/>
  <c r="I40"/>
  <c r="I43"/>
  <c r="I46"/>
  <c r="I49"/>
  <c r="I52"/>
  <c r="I55"/>
  <c r="I58"/>
  <c r="I61"/>
  <c r="I64"/>
  <c r="I67"/>
  <c r="I70"/>
  <c r="I73"/>
  <c r="I76"/>
  <c r="I79"/>
  <c r="I82"/>
  <c r="I85"/>
  <c r="I91" i="5"/>
  <c r="P89"/>
  <c r="G93"/>
  <c r="G92"/>
  <c r="F4"/>
  <c r="F82"/>
  <c r="G82"/>
  <c r="H82" s="1"/>
  <c r="G4"/>
  <c r="H4" s="1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3"/>
  <c r="F84"/>
  <c r="F85"/>
  <c r="F86"/>
  <c r="F87"/>
  <c r="F88"/>
  <c r="F89"/>
  <c r="F90"/>
  <c r="F91"/>
  <c r="AH14" i="3"/>
  <c r="AI4"/>
  <c r="AI5"/>
  <c r="AI6"/>
  <c r="AI7"/>
  <c r="AI8"/>
  <c r="AI9"/>
  <c r="AI10"/>
  <c r="AI11"/>
  <c r="AI12"/>
  <c r="AI13"/>
  <c r="AI14"/>
  <c r="AI15"/>
  <c r="AI16"/>
  <c r="AI17"/>
  <c r="AI18"/>
  <c r="AI22"/>
  <c r="AI23"/>
  <c r="AI24"/>
  <c r="AI25"/>
  <c r="AI26"/>
  <c r="AI27"/>
  <c r="AI28"/>
  <c r="AI29"/>
  <c r="AI30"/>
  <c r="AI31"/>
  <c r="AI32"/>
  <c r="AI33"/>
  <c r="AI34"/>
  <c r="AH4"/>
  <c r="AK4" s="1"/>
  <c r="AK21" s="1"/>
  <c r="AH5"/>
  <c r="AH6"/>
  <c r="AH7"/>
  <c r="AK7" s="1"/>
  <c r="AH8"/>
  <c r="AK8" s="1"/>
  <c r="AH9"/>
  <c r="AH10"/>
  <c r="AH11"/>
  <c r="AH12"/>
  <c r="AK12"/>
  <c r="AH13"/>
  <c r="AH15"/>
  <c r="AK15" s="1"/>
  <c r="AH16"/>
  <c r="AK16" s="1"/>
  <c r="AH17"/>
  <c r="AH18"/>
  <c r="AK18" s="1"/>
  <c r="AH22"/>
  <c r="AJ22" s="1"/>
  <c r="AH23"/>
  <c r="AK23" s="1"/>
  <c r="AH24"/>
  <c r="AK24" s="1"/>
  <c r="AH25"/>
  <c r="AH26"/>
  <c r="AH27"/>
  <c r="AK27" s="1"/>
  <c r="AH28"/>
  <c r="AK28" s="1"/>
  <c r="AH29"/>
  <c r="AH30"/>
  <c r="AK30"/>
  <c r="AH31"/>
  <c r="AK31"/>
  <c r="AH32"/>
  <c r="AH33"/>
  <c r="AH34"/>
  <c r="AK34"/>
  <c r="AI3"/>
  <c r="AJ3" s="1"/>
  <c r="AH3"/>
  <c r="AK3" s="1"/>
  <c r="AK20" s="1"/>
  <c r="G66" i="5"/>
  <c r="H66"/>
  <c r="G62"/>
  <c r="H62"/>
  <c r="G58"/>
  <c r="H58"/>
  <c r="G50"/>
  <c r="H50"/>
  <c r="G46"/>
  <c r="H46"/>
  <c r="G42"/>
  <c r="H42"/>
  <c r="G38"/>
  <c r="H38"/>
  <c r="G34"/>
  <c r="H34"/>
  <c r="G28"/>
  <c r="H28"/>
  <c r="G24"/>
  <c r="H24"/>
  <c r="G20"/>
  <c r="H20"/>
  <c r="G16"/>
  <c r="H16"/>
  <c r="G12"/>
  <c r="H12"/>
  <c r="G63"/>
  <c r="H63"/>
  <c r="G59"/>
  <c r="H59"/>
  <c r="G55"/>
  <c r="H55"/>
  <c r="G51"/>
  <c r="H51"/>
  <c r="G47"/>
  <c r="H47"/>
  <c r="G43"/>
  <c r="H43"/>
  <c r="G39"/>
  <c r="H39"/>
  <c r="G35"/>
  <c r="H35"/>
  <c r="G32"/>
  <c r="H32"/>
  <c r="G29"/>
  <c r="H29"/>
  <c r="G25"/>
  <c r="H25"/>
  <c r="G21"/>
  <c r="H21"/>
  <c r="G17"/>
  <c r="H17"/>
  <c r="G13"/>
  <c r="H13"/>
  <c r="G9"/>
  <c r="H9"/>
  <c r="G5"/>
  <c r="H5"/>
  <c r="G64"/>
  <c r="H64"/>
  <c r="G60"/>
  <c r="H60"/>
  <c r="G56"/>
  <c r="H56"/>
  <c r="G52"/>
  <c r="H52"/>
  <c r="G48"/>
  <c r="H48"/>
  <c r="G44"/>
  <c r="H44"/>
  <c r="G40"/>
  <c r="H40"/>
  <c r="G36"/>
  <c r="H36"/>
  <c r="G26"/>
  <c r="H26"/>
  <c r="G22"/>
  <c r="H22"/>
  <c r="G18"/>
  <c r="H18"/>
  <c r="G14"/>
  <c r="H14"/>
  <c r="G10"/>
  <c r="H10"/>
  <c r="G6"/>
  <c r="H6"/>
  <c r="G65"/>
  <c r="H65"/>
  <c r="G61"/>
  <c r="H61"/>
  <c r="G57"/>
  <c r="H57"/>
  <c r="G53"/>
  <c r="H53"/>
  <c r="G49"/>
  <c r="H49"/>
  <c r="G45"/>
  <c r="H45"/>
  <c r="G41"/>
  <c r="H41"/>
  <c r="G37"/>
  <c r="H37"/>
  <c r="G33"/>
  <c r="H33"/>
  <c r="G30"/>
  <c r="H30"/>
  <c r="G27"/>
  <c r="H27"/>
  <c r="G23"/>
  <c r="H23"/>
  <c r="G19"/>
  <c r="H19"/>
  <c r="G15"/>
  <c r="H15"/>
  <c r="G11"/>
  <c r="H11"/>
  <c r="G7"/>
  <c r="H7"/>
  <c r="G54"/>
  <c r="H54"/>
  <c r="G31"/>
  <c r="H31"/>
  <c r="G8"/>
  <c r="H8"/>
  <c r="G90"/>
  <c r="H90"/>
  <c r="G86"/>
  <c r="H86"/>
  <c r="G81"/>
  <c r="H81"/>
  <c r="G77"/>
  <c r="H77"/>
  <c r="G73"/>
  <c r="H73"/>
  <c r="G69"/>
  <c r="H69"/>
  <c r="G91"/>
  <c r="H91"/>
  <c r="G87"/>
  <c r="H87"/>
  <c r="G83"/>
  <c r="H83"/>
  <c r="G78"/>
  <c r="H78"/>
  <c r="G74"/>
  <c r="H74"/>
  <c r="G70"/>
  <c r="H70"/>
  <c r="G88"/>
  <c r="H88"/>
  <c r="G84"/>
  <c r="H84"/>
  <c r="G79"/>
  <c r="H79"/>
  <c r="G75"/>
  <c r="H75"/>
  <c r="G71"/>
  <c r="H71"/>
  <c r="G67"/>
  <c r="H67"/>
  <c r="G89"/>
  <c r="H89"/>
  <c r="G85"/>
  <c r="H85"/>
  <c r="G80"/>
  <c r="H80"/>
  <c r="G76"/>
  <c r="H76"/>
  <c r="G72"/>
  <c r="H72"/>
  <c r="G68"/>
  <c r="H68"/>
  <c r="AK32" i="3"/>
  <c r="AK25"/>
  <c r="AK13"/>
  <c r="AK9"/>
  <c r="AK14"/>
  <c r="AK33"/>
  <c r="AK26"/>
  <c r="AK10"/>
  <c r="AK6"/>
  <c r="AK29"/>
  <c r="AK5"/>
  <c r="AK11"/>
  <c r="AJ16"/>
  <c r="AJ11"/>
  <c r="AJ7"/>
  <c r="AJ34"/>
  <c r="AJ30"/>
  <c r="AJ27"/>
  <c r="AJ23"/>
  <c r="AK17"/>
  <c r="AJ17"/>
  <c r="AJ12"/>
  <c r="AJ8"/>
  <c r="AJ4"/>
  <c r="AJ31"/>
  <c r="AJ28"/>
  <c r="AJ24"/>
  <c r="AK22"/>
  <c r="AJ13"/>
  <c r="AJ9"/>
  <c r="AJ5"/>
  <c r="AJ32"/>
  <c r="AJ29"/>
  <c r="AJ25"/>
  <c r="AJ15"/>
  <c r="AJ10"/>
  <c r="AJ6"/>
  <c r="AJ33"/>
  <c r="AJ26"/>
  <c r="AJ14"/>
  <c r="K74" i="5" l="1"/>
  <c r="O74"/>
  <c r="P74" s="1"/>
  <c r="Q74" s="1"/>
  <c r="N74"/>
  <c r="L27" i="11"/>
  <c r="L29" s="1"/>
  <c r="I47" i="5"/>
  <c r="J47" s="1"/>
  <c r="N47" s="1"/>
  <c r="F27" i="11"/>
  <c r="F29" s="1"/>
  <c r="I62" i="5"/>
  <c r="J62" s="1"/>
  <c r="J53"/>
  <c r="N53" s="1"/>
  <c r="O53" s="1"/>
  <c r="P53" s="1"/>
  <c r="Q53" s="1"/>
  <c r="I52"/>
  <c r="J50" s="1"/>
  <c r="I10"/>
  <c r="D27" i="11"/>
  <c r="D29" s="1"/>
  <c r="H27"/>
  <c r="H29" s="1"/>
  <c r="I19" i="5"/>
  <c r="G27" i="11"/>
  <c r="G29" s="1"/>
  <c r="I71" i="5"/>
  <c r="I15"/>
  <c r="J13" s="1"/>
  <c r="K13" s="1"/>
  <c r="I85"/>
  <c r="O83" s="1"/>
  <c r="P83" s="1"/>
  <c r="Q83" s="1"/>
  <c r="I32"/>
  <c r="O30" s="1"/>
  <c r="P30" s="1"/>
  <c r="Q30" s="1"/>
  <c r="I46"/>
  <c r="O44" s="1"/>
  <c r="P44" s="1"/>
  <c r="Q44" s="1"/>
  <c r="AJ18" i="3"/>
  <c r="K22" i="5"/>
  <c r="AK37" i="3"/>
  <c r="AK36"/>
  <c r="N50" i="5"/>
  <c r="O50" s="1"/>
  <c r="P50" s="1"/>
  <c r="Q50" s="1"/>
  <c r="K50"/>
  <c r="N7"/>
  <c r="O7" s="1"/>
  <c r="P7" s="1"/>
  <c r="Q7" s="1"/>
  <c r="K7"/>
  <c r="N62"/>
  <c r="O62" s="1"/>
  <c r="P62" s="1"/>
  <c r="Q62" s="1"/>
  <c r="K62"/>
  <c r="O47"/>
  <c r="P47" s="1"/>
  <c r="Q47" s="1"/>
  <c r="K47"/>
  <c r="I88"/>
  <c r="O86" s="1"/>
  <c r="P86" s="1"/>
  <c r="Q86" s="1"/>
  <c r="J28"/>
  <c r="I67"/>
  <c r="O65" s="1"/>
  <c r="P65" s="1"/>
  <c r="Q65" s="1"/>
  <c r="I18"/>
  <c r="J16" s="1"/>
  <c r="I6"/>
  <c r="O4" s="1"/>
  <c r="P4" s="1"/>
  <c r="Q4" s="1"/>
  <c r="I61"/>
  <c r="O59" s="1"/>
  <c r="P59" s="1"/>
  <c r="Q59" s="1"/>
  <c r="O41"/>
  <c r="P41" s="1"/>
  <c r="Q41" s="1"/>
  <c r="K53"/>
  <c r="I70"/>
  <c r="O68" s="1"/>
  <c r="P68" s="1"/>
  <c r="Q68" s="1"/>
  <c r="N13" l="1"/>
  <c r="O13" s="1"/>
  <c r="P13" s="1"/>
  <c r="Q13" s="1"/>
  <c r="J10"/>
  <c r="I27"/>
  <c r="I40"/>
  <c r="O38" s="1"/>
  <c r="P38" s="1"/>
  <c r="Q38" s="1"/>
  <c r="O71"/>
  <c r="P71" s="1"/>
  <c r="Q71" s="1"/>
  <c r="J19"/>
  <c r="N19" s="1"/>
  <c r="O29" i="11"/>
  <c r="N16" i="5"/>
  <c r="O16"/>
  <c r="P16" s="1"/>
  <c r="Q16" s="1"/>
  <c r="K16"/>
  <c r="N28"/>
  <c r="O28" s="1"/>
  <c r="P28" s="1"/>
  <c r="Q28" s="1"/>
  <c r="K28"/>
  <c r="J25" l="1"/>
  <c r="N10"/>
  <c r="O10" s="1"/>
  <c r="P10" s="1"/>
  <c r="Q10" s="1"/>
  <c r="K10"/>
  <c r="K19"/>
  <c r="O19"/>
  <c r="P19" s="1"/>
  <c r="Q19" s="1"/>
  <c r="N25" l="1"/>
  <c r="O25" s="1"/>
  <c r="P25" s="1"/>
  <c r="Q25" s="1"/>
  <c r="K25"/>
  <c r="Q94"/>
</calcChain>
</file>

<file path=xl/comments1.xml><?xml version="1.0" encoding="utf-8"?>
<comments xmlns="http://schemas.openxmlformats.org/spreadsheetml/2006/main">
  <authors>
    <author>enae030</author>
  </authors>
  <commentList>
    <comment ref="Q22" authorId="0">
      <text>
        <r>
          <rPr>
            <b/>
            <sz val="9"/>
            <color indexed="81"/>
            <rFont val="Tahoma"/>
            <family val="2"/>
          </rPr>
          <t>enae030:</t>
        </r>
        <r>
          <rPr>
            <sz val="9"/>
            <color indexed="81"/>
            <rFont val="Tahoma"/>
            <family val="2"/>
          </rPr>
          <t xml:space="preserve">
FIMS Income 15/16</t>
        </r>
      </text>
    </comment>
    <comment ref="Q80" authorId="0">
      <text>
        <r>
          <rPr>
            <b/>
            <sz val="9"/>
            <color indexed="81"/>
            <rFont val="Tahoma"/>
            <family val="2"/>
          </rPr>
          <t>enae030:</t>
        </r>
        <r>
          <rPr>
            <sz val="9"/>
            <color indexed="81"/>
            <rFont val="Tahoma"/>
            <family val="2"/>
          </rPr>
          <t xml:space="preserve">
FIMS 2015/2016</t>
        </r>
      </text>
    </comment>
  </commentList>
</comments>
</file>

<file path=xl/sharedStrings.xml><?xml version="1.0" encoding="utf-8"?>
<sst xmlns="http://schemas.openxmlformats.org/spreadsheetml/2006/main" count="809" uniqueCount="198">
  <si>
    <t>Disabled Facilities Y/N</t>
  </si>
  <si>
    <t>Toilet Location</t>
  </si>
  <si>
    <t xml:space="preserve">Opening Hours </t>
  </si>
  <si>
    <t>Summer Season</t>
  </si>
  <si>
    <t xml:space="preserve">Winter Season </t>
  </si>
  <si>
    <t>Y</t>
  </si>
  <si>
    <t>N</t>
  </si>
  <si>
    <t>Bank Lane</t>
  </si>
  <si>
    <t>Breakwater Beach</t>
  </si>
  <si>
    <t>Brixham Harbour</t>
  </si>
  <si>
    <t>Fishcombe</t>
  </si>
  <si>
    <t>Shoalstone</t>
  </si>
  <si>
    <t>Broadsands</t>
  </si>
  <si>
    <t>Palace Avenue</t>
  </si>
  <si>
    <t>Paignton Central</t>
  </si>
  <si>
    <t>Paignton Harbour</t>
  </si>
  <si>
    <t>Parkside</t>
  </si>
  <si>
    <t>Preston Bus Shelter</t>
  </si>
  <si>
    <t>Preston North</t>
  </si>
  <si>
    <t>Preston Redcliffe</t>
  </si>
  <si>
    <t>Festival Apollo</t>
  </si>
  <si>
    <t>Beacon Quay</t>
  </si>
  <si>
    <t>Factory Row</t>
  </si>
  <si>
    <t>Lymington Road</t>
  </si>
  <si>
    <t>Old Town Hall</t>
  </si>
  <si>
    <t>Sea Front Complex</t>
  </si>
  <si>
    <t>St Marychurch Car Park</t>
  </si>
  <si>
    <t>Vaughan Parade</t>
  </si>
  <si>
    <t>Torre Abbey Meadows</t>
  </si>
  <si>
    <t>Babbacombe Downs</t>
  </si>
  <si>
    <t>Corbyn Head</t>
  </si>
  <si>
    <t>Meadfoot</t>
  </si>
  <si>
    <t>Oddicombe</t>
  </si>
  <si>
    <t>Watcombe</t>
  </si>
  <si>
    <t>Goodrington North</t>
  </si>
  <si>
    <t>Goodrington Central</t>
  </si>
  <si>
    <t>Goodrington South</t>
  </si>
  <si>
    <t>All Year</t>
  </si>
  <si>
    <t>Seasonal</t>
  </si>
  <si>
    <t>Open by 9am/ Closed from 8pm</t>
  </si>
  <si>
    <t>Open by 8am/ Closed from 8pm</t>
  </si>
  <si>
    <t>Open by 10am/ Closed from 6pm</t>
  </si>
  <si>
    <t>Closed</t>
  </si>
  <si>
    <t>Toilet Operating Schedule 1st April- 30th October 2015</t>
  </si>
  <si>
    <t>Brixham</t>
  </si>
  <si>
    <t>Paignton</t>
  </si>
  <si>
    <t>Torquay</t>
  </si>
  <si>
    <t>Opening Period</t>
  </si>
  <si>
    <t>Apollo Theatre</t>
  </si>
  <si>
    <t>Pier Central</t>
  </si>
  <si>
    <t>Vaughan Road</t>
  </si>
  <si>
    <t>Torquay Complex</t>
  </si>
  <si>
    <t>Location</t>
  </si>
  <si>
    <t>Toilet Block</t>
  </si>
  <si>
    <t>Fishcombe Beach</t>
  </si>
  <si>
    <t>Breakwater</t>
  </si>
  <si>
    <t>Shoalstone Beach</t>
  </si>
  <si>
    <t>Quaywest Central</t>
  </si>
  <si>
    <t>No Hits</t>
  </si>
  <si>
    <t>Preston Shelter</t>
  </si>
  <si>
    <t>Abbey Meadows</t>
  </si>
  <si>
    <t>-</t>
  </si>
  <si>
    <t>Meadfoot Beach</t>
  </si>
  <si>
    <t>Coach Station</t>
  </si>
  <si>
    <t>no Hit</t>
  </si>
  <si>
    <t>Oddicombe Beach</t>
  </si>
  <si>
    <t>St Marychurch</t>
  </si>
  <si>
    <t>Watcombe Beach</t>
  </si>
  <si>
    <t>2nd Clean</t>
  </si>
  <si>
    <t>1st Clean</t>
  </si>
  <si>
    <t xml:space="preserve">1st Clean </t>
  </si>
  <si>
    <t>8.00-9.00</t>
  </si>
  <si>
    <t>Broadsands beach</t>
  </si>
  <si>
    <t>Apollo theatre</t>
  </si>
  <si>
    <t>Oddicombe beach</t>
  </si>
  <si>
    <t>Lymington Road Coach station</t>
  </si>
  <si>
    <t>Torquay complex</t>
  </si>
  <si>
    <t>Av time</t>
  </si>
  <si>
    <t xml:space="preserve">Toilets </t>
  </si>
  <si>
    <t>Average 1st Clean</t>
  </si>
  <si>
    <t>Average 2nd Clean</t>
  </si>
  <si>
    <t>Cleaning Order Ref</t>
  </si>
  <si>
    <t>Cleaning Round</t>
  </si>
  <si>
    <t>North</t>
  </si>
  <si>
    <t>South</t>
  </si>
  <si>
    <t>Time between</t>
  </si>
  <si>
    <t>Time between Toilets</t>
  </si>
  <si>
    <t>Goodrington Central Toilets</t>
  </si>
  <si>
    <t>Preston High Street</t>
  </si>
  <si>
    <t>Seafront Complex</t>
  </si>
  <si>
    <t>St Marychurch Town Hall</t>
  </si>
  <si>
    <t>Meters</t>
  </si>
  <si>
    <t>Estimated Walking Time</t>
  </si>
  <si>
    <t>* During Summer months Tor2 have 4 static cleaners. 1 between Parkside, Pier Central, 1 Goodrington South, Central. 1 at Old Town Hall and 1 at vaughen Road and Torquay Complex</t>
  </si>
  <si>
    <t xml:space="preserve">Shoalstone </t>
  </si>
  <si>
    <t xml:space="preserve">Nearest </t>
  </si>
  <si>
    <t>Town</t>
  </si>
  <si>
    <t>Apollo</t>
  </si>
  <si>
    <t>TQ Seafront</t>
  </si>
  <si>
    <t xml:space="preserve">Estimation Meadfoot
</t>
  </si>
  <si>
    <t>Increase on Count Period</t>
  </si>
  <si>
    <t>of Estimated year Figure</t>
  </si>
  <si>
    <t>Estimated Walking Time (mins)</t>
  </si>
  <si>
    <t>Operational Period</t>
  </si>
  <si>
    <t>N/A</t>
  </si>
  <si>
    <t>TOTAL</t>
  </si>
  <si>
    <t>ATL PREMISES INSURANCE</t>
  </si>
  <si>
    <t>NATIONAL NON DOMESTIC RATES</t>
  </si>
  <si>
    <t>WATER - GENERAL</t>
  </si>
  <si>
    <t>ENERGY - GAS-DOMESTIC</t>
  </si>
  <si>
    <t>ENERGY - GAS-COMMERCIAL</t>
  </si>
  <si>
    <t>ENERGY - ELECTRICITY</t>
  </si>
  <si>
    <t>Total</t>
  </si>
  <si>
    <t>Pedicted Income &amp; Estimations</t>
  </si>
  <si>
    <t>Base Infromation</t>
  </si>
  <si>
    <t>Meadfoot - 50%</t>
  </si>
  <si>
    <t>Counter Failed due to ASB.  Meadfoot -20*</t>
  </si>
  <si>
    <t>Meadfoot + 20%</t>
  </si>
  <si>
    <t>Of Period Outside Count Period (32 Week)</t>
  </si>
  <si>
    <t>Seasonal Variation</t>
  </si>
  <si>
    <t>Meadoot - 50%</t>
  </si>
  <si>
    <t>Week beginning</t>
  </si>
  <si>
    <t>Goodrington</t>
  </si>
  <si>
    <t>Corbyn</t>
  </si>
  <si>
    <t>Lymington</t>
  </si>
  <si>
    <t>Torquay Seafront</t>
  </si>
  <si>
    <t>20% reduction</t>
  </si>
  <si>
    <t>20 pence Charge</t>
  </si>
  <si>
    <t>Pier</t>
  </si>
  <si>
    <t>% Difference</t>
  </si>
  <si>
    <t>average</t>
  </si>
  <si>
    <t>COUNT NUMBER</t>
  </si>
  <si>
    <t>OFF SEASON</t>
  </si>
  <si>
    <t>ANNUAL FIGURE</t>
  </si>
  <si>
    <t xml:space="preserve">Seaonal Toilets have a 10% Increase on Count Period.  Season Toilets are operational for 30 weeks.  It is estimated that the 10 weeks outside Count Period recieves Lower Usage
Toilets Open all year recieve a % reduction on the Period Outside the Count (Dependent on location)
</t>
  </si>
  <si>
    <t>20% Reduction (Result of Charging Entry)</t>
  </si>
  <si>
    <t>20 pence charge
"Col P x £0.2"</t>
  </si>
  <si>
    <t>ESTIMATED ANNUAL USER NUMBERS</t>
  </si>
  <si>
    <t>USAGE REDUCTION</t>
  </si>
  <si>
    <t>CHARGE</t>
  </si>
  <si>
    <t>Period - wc 25th April to wc 5th Sept (20 weeks)  
Green = Actual; Pink = Estimation (Based on Location and Officer Knowledge)</t>
  </si>
  <si>
    <t>ALL YEAR TOILETS ONLY
Count Number (20 week) + OFF Season (32 week)
"Sum of Col I &amp; Col J"</t>
  </si>
  <si>
    <t>ALL YEAR TOILETS ONLY
The 32 week period with % seaonal reduction
Annual Figure (Col K) x Seasonal Variation (Col L)</t>
  </si>
  <si>
    <t>Estimation Preston North - 20%</t>
  </si>
  <si>
    <t>Preston North - 20%</t>
  </si>
  <si>
    <t>Period wc 12th Sept - 18th April 2017, 32 week (Period outside of Count Period).  Figure caculated on Count Period being representitve for remainder of year
Count Number divide by 20 times 32</t>
  </si>
  <si>
    <t>Estimated After SEAONAL REDUCTION</t>
  </si>
  <si>
    <t>Estmated Annual User Numbers
Count Period (I) + Number After Seaonal Reduction  (N)</t>
  </si>
  <si>
    <t>Asset Ref:</t>
  </si>
  <si>
    <t>Title Deed Ref:</t>
  </si>
  <si>
    <t>Ownership</t>
  </si>
  <si>
    <t>T0266AC</t>
  </si>
  <si>
    <t>DN520534</t>
  </si>
  <si>
    <t>T0680AD</t>
  </si>
  <si>
    <t>DN520632</t>
  </si>
  <si>
    <t>T0245AA</t>
  </si>
  <si>
    <t>DN521785</t>
  </si>
  <si>
    <t>T0442AA</t>
  </si>
  <si>
    <t>DN535048</t>
  </si>
  <si>
    <t>T0008AB</t>
  </si>
  <si>
    <t>T0681AC</t>
  </si>
  <si>
    <t>DN528335</t>
  </si>
  <si>
    <t>T0184</t>
  </si>
  <si>
    <t>T0006AB</t>
  </si>
  <si>
    <t>T0749AA</t>
  </si>
  <si>
    <t>DN514811</t>
  </si>
  <si>
    <t>T0024AB</t>
  </si>
  <si>
    <t>DN519024</t>
  </si>
  <si>
    <t>B0335AD</t>
  </si>
  <si>
    <t>DN526982</t>
  </si>
  <si>
    <t>P0253AE</t>
  </si>
  <si>
    <t>DN524674</t>
  </si>
  <si>
    <t>P0130AB</t>
  </si>
  <si>
    <t>DN538187</t>
  </si>
  <si>
    <t>P0119AC</t>
  </si>
  <si>
    <t>P0136AB</t>
  </si>
  <si>
    <t>P0421AB</t>
  </si>
  <si>
    <t>DN530153</t>
  </si>
  <si>
    <t>P0253AB</t>
  </si>
  <si>
    <t>P0241AE</t>
  </si>
  <si>
    <t>P0255AB</t>
  </si>
  <si>
    <t>DN527658</t>
  </si>
  <si>
    <t>P0635AK</t>
  </si>
  <si>
    <t>DN545274</t>
  </si>
  <si>
    <t>P0635AC</t>
  </si>
  <si>
    <t>P0995</t>
  </si>
  <si>
    <t>NOT REGISTERED</t>
  </si>
  <si>
    <t>B0129</t>
  </si>
  <si>
    <t>DN516036</t>
  </si>
  <si>
    <t>B0370AB</t>
  </si>
  <si>
    <t>DN510943</t>
  </si>
  <si>
    <t>B0064</t>
  </si>
  <si>
    <t>B0323AB</t>
  </si>
  <si>
    <t>B0063AF</t>
  </si>
  <si>
    <t xml:space="preserve">DN590736 </t>
  </si>
  <si>
    <t>LEASEHOLD</t>
  </si>
  <si>
    <t>FREEHOLD</t>
  </si>
  <si>
    <t>T0505AC</t>
  </si>
</sst>
</file>

<file path=xl/styles.xml><?xml version="1.0" encoding="utf-8"?>
<styleSheet xmlns="http://schemas.openxmlformats.org/spreadsheetml/2006/main">
  <numFmts count="3">
    <numFmt numFmtId="42" formatCode="_-&quot;£&quot;* #,##0_-;\-&quot;£&quot;* #,##0_-;_-&quot;£&quot;* &quot;-&quot;_-;_-@_-"/>
    <numFmt numFmtId="44" formatCode="_-&quot;£&quot;* #,##0.00_-;\-&quot;£&quot;* #,##0.00_-;_-&quot;£&quot;* &quot;-&quot;??_-;_-@_-"/>
    <numFmt numFmtId="164" formatCode="_-[$£-809]* #,##0.00_-;\-[$£-809]* #,##0.00_-;_-[$£-809]* &quot;-&quot;??_-;_-@_-"/>
  </numFmts>
  <fonts count="2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b/>
      <sz val="13.2"/>
      <color rgb="FF000000"/>
      <name val="Arial"/>
      <family val="2"/>
    </font>
    <font>
      <sz val="12.1"/>
      <color rgb="FF000000"/>
      <name val="Arial"/>
      <family val="2"/>
    </font>
    <font>
      <sz val="12"/>
      <color theme="1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sz val="12"/>
      <color theme="0" tint="-4.9989318521683403E-2"/>
      <name val="Calibri"/>
      <family val="2"/>
      <scheme val="minor"/>
    </font>
    <font>
      <sz val="11"/>
      <color rgb="FF1F497D"/>
      <name val="Calibri"/>
      <family val="2"/>
    </font>
    <font>
      <b/>
      <sz val="11"/>
      <color rgb="FFFF0000"/>
      <name val="Calibri"/>
      <family val="2"/>
    </font>
    <font>
      <sz val="11"/>
      <color rgb="FF1F497D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4"/>
      </patternFill>
    </fill>
    <fill>
      <patternFill patternType="solid">
        <fgColor theme="6" tint="0.59999389629810485"/>
        <bgColor indexed="65"/>
      </patternFill>
    </fill>
    <fill>
      <patternFill patternType="solid">
        <fgColor rgb="FFFFEFE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/>
        <bgColor indexed="64"/>
      </patternFill>
    </fill>
  </fills>
  <borders count="10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/>
      <top style="thin">
        <color rgb="FF7F7F7F"/>
      </top>
      <bottom/>
      <diagonal/>
    </border>
    <border>
      <left style="thin">
        <color rgb="FF7F7F7F"/>
      </left>
      <right/>
      <top/>
      <bottom/>
      <diagonal/>
    </border>
    <border>
      <left style="thin">
        <color rgb="FF7F7F7F"/>
      </left>
      <right/>
      <top/>
      <bottom style="thin">
        <color indexed="64"/>
      </bottom>
      <diagonal/>
    </border>
    <border>
      <left style="thin">
        <color rgb="FF7F7F7F"/>
      </left>
      <right/>
      <top style="thin">
        <color indexed="64"/>
      </top>
      <bottom/>
      <diagonal/>
    </border>
    <border>
      <left style="thin">
        <color rgb="FF7F7F7F"/>
      </left>
      <right/>
      <top/>
      <bottom style="thin">
        <color rgb="FF7F7F7F"/>
      </bottom>
      <diagonal/>
    </border>
    <border>
      <left style="thin">
        <color indexed="64"/>
      </left>
      <right/>
      <top style="thin">
        <color rgb="FF7F7F7F"/>
      </top>
      <bottom/>
      <diagonal/>
    </border>
    <border>
      <left style="thin">
        <color indexed="64"/>
      </left>
      <right/>
      <top/>
      <bottom style="thin">
        <color rgb="FF7F7F7F"/>
      </bottom>
      <diagonal/>
    </border>
    <border>
      <left style="thin">
        <color rgb="FF7F7F7F"/>
      </left>
      <right/>
      <top style="double">
        <color rgb="FF3F3F3F"/>
      </top>
      <bottom/>
      <diagonal/>
    </border>
    <border>
      <left style="thin">
        <color rgb="FF7F7F7F"/>
      </left>
      <right/>
      <top/>
      <bottom style="double">
        <color rgb="FF3F3F3F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/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 style="medium">
        <color indexed="64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7F7F7F"/>
      </right>
      <top/>
      <bottom style="thin">
        <color rgb="FF7F7F7F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/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rgb="FF7F7F7F"/>
      </right>
      <top style="thin">
        <color indexed="64"/>
      </top>
      <bottom/>
      <diagonal/>
    </border>
    <border>
      <left style="medium">
        <color indexed="64"/>
      </left>
      <right style="thin">
        <color rgb="FF7F7F7F"/>
      </right>
      <top/>
      <bottom/>
      <diagonal/>
    </border>
    <border>
      <left style="medium">
        <color indexed="64"/>
      </left>
      <right style="thin">
        <color rgb="FF7F7F7F"/>
      </right>
      <top/>
      <bottom style="double">
        <color rgb="FF3F3F3F"/>
      </bottom>
      <diagonal/>
    </border>
    <border>
      <left style="medium">
        <color indexed="64"/>
      </left>
      <right/>
      <top style="double">
        <color rgb="FF3F3F3F"/>
      </top>
      <bottom/>
      <diagonal/>
    </border>
    <border>
      <left style="medium">
        <color indexed="64"/>
      </left>
      <right/>
      <top/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/>
      <diagonal/>
    </border>
    <border>
      <left style="medium">
        <color indexed="64"/>
      </left>
      <right style="thin">
        <color indexed="64"/>
      </right>
      <top style="thin">
        <color rgb="FF7F7F7F"/>
      </top>
      <bottom/>
      <diagonal/>
    </border>
    <border>
      <left style="medium">
        <color indexed="64"/>
      </left>
      <right style="thin">
        <color indexed="64"/>
      </right>
      <top/>
      <bottom style="thin">
        <color rgb="FF7F7F7F"/>
      </bottom>
      <diagonal/>
    </border>
    <border>
      <left style="medium">
        <color indexed="64"/>
      </left>
      <right/>
      <top style="thin">
        <color rgb="FF7F7F7F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rgb="FF3F3F3F"/>
      </bottom>
      <diagonal/>
    </border>
    <border>
      <left style="medium">
        <color indexed="64"/>
      </left>
      <right style="thin">
        <color indexed="64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 style="thin">
        <color indexed="64"/>
      </right>
      <top style="double">
        <color rgb="FF3F3F3F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7F7F7F"/>
      </right>
      <top style="medium">
        <color indexed="64"/>
      </top>
      <bottom/>
      <diagonal/>
    </border>
    <border>
      <left style="medium">
        <color indexed="64"/>
      </left>
      <right style="thin">
        <color rgb="FF7F7F7F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7F7F7F"/>
      </top>
      <bottom/>
      <diagonal/>
    </border>
    <border>
      <left style="double">
        <color rgb="FF3F3F3F"/>
      </left>
      <right style="double">
        <color rgb="FF3F3F3F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double">
        <color rgb="FF3F3F3F"/>
      </bottom>
      <diagonal/>
    </border>
    <border>
      <left/>
      <right style="thin">
        <color indexed="64"/>
      </right>
      <top/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666666"/>
      </left>
      <right/>
      <top style="thin">
        <color rgb="FF666666"/>
      </top>
      <bottom style="thin">
        <color rgb="FFDDDDDD"/>
      </bottom>
      <diagonal/>
    </border>
    <border>
      <left style="thin">
        <color rgb="FF666666"/>
      </left>
      <right/>
      <top/>
      <bottom style="thin">
        <color rgb="FFDDDDDD"/>
      </bottom>
      <diagonal/>
    </border>
    <border>
      <left style="thin">
        <color rgb="FF666666"/>
      </left>
      <right/>
      <top style="thin">
        <color rgb="FFDDDDDD"/>
      </top>
      <bottom style="thin">
        <color rgb="FFDDDDDD"/>
      </bottom>
      <diagonal/>
    </border>
    <border>
      <left style="thin">
        <color rgb="FF666666"/>
      </left>
      <right/>
      <top style="thin">
        <color rgb="FFDDDDDD"/>
      </top>
      <bottom style="thin">
        <color rgb="FF66666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medium">
        <color indexed="64"/>
      </left>
      <right/>
      <top/>
      <bottom style="double">
        <color rgb="FF3F3F3F"/>
      </bottom>
      <diagonal/>
    </border>
    <border>
      <left style="medium">
        <color indexed="64"/>
      </left>
      <right/>
      <top style="double">
        <color rgb="FF3F3F3F"/>
      </top>
      <bottom style="double">
        <color rgb="FF3F3F3F"/>
      </bottom>
      <diagonal/>
    </border>
  </borders>
  <cellStyleXfs count="8">
    <xf numFmtId="0" fontId="0" fillId="0" borderId="0"/>
    <xf numFmtId="0" fontId="2" fillId="3" borderId="0" applyNumberFormat="0" applyBorder="0" applyAlignment="0" applyProtection="0"/>
    <xf numFmtId="0" fontId="3" fillId="4" borderId="2" applyNumberFormat="0" applyAlignment="0" applyProtection="0"/>
    <xf numFmtId="0" fontId="4" fillId="5" borderId="3" applyNumberFormat="0" applyAlignment="0" applyProtection="0"/>
    <xf numFmtId="0" fontId="5" fillId="7" borderId="0" applyNumberFormat="0" applyBorder="0" applyAlignment="0" applyProtection="0"/>
    <xf numFmtId="0" fontId="6" fillId="8" borderId="0" applyNumberFormat="0" applyBorder="0" applyAlignment="0" applyProtection="0"/>
    <xf numFmtId="0" fontId="8" fillId="9" borderId="0" applyNumberFormat="0" applyBorder="0" applyAlignment="0" applyProtection="0"/>
    <xf numFmtId="0" fontId="7" fillId="10" borderId="0" applyNumberFormat="0" applyBorder="0" applyAlignment="0" applyProtection="0"/>
  </cellStyleXfs>
  <cellXfs count="26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20" fontId="0" fillId="0" borderId="0" xfId="0" applyNumberFormat="1"/>
    <xf numFmtId="2" fontId="0" fillId="0" borderId="0" xfId="0" applyNumberFormat="1"/>
    <xf numFmtId="2" fontId="0" fillId="0" borderId="0" xfId="0" applyNumberFormat="1" applyAlignment="1">
      <alignment horizontal="right"/>
    </xf>
    <xf numFmtId="2" fontId="0" fillId="2" borderId="0" xfId="0" applyNumberFormat="1" applyFill="1"/>
    <xf numFmtId="2" fontId="1" fillId="0" borderId="0" xfId="0" applyNumberFormat="1" applyFont="1"/>
    <xf numFmtId="45" fontId="0" fillId="0" borderId="0" xfId="0" applyNumberFormat="1"/>
    <xf numFmtId="0" fontId="0" fillId="6" borderId="0" xfId="0" applyFill="1"/>
    <xf numFmtId="14" fontId="0" fillId="6" borderId="0" xfId="0" applyNumberFormat="1" applyFill="1"/>
    <xf numFmtId="0" fontId="0" fillId="6" borderId="0" xfId="0" applyFill="1" applyAlignment="1">
      <alignment wrapText="1"/>
    </xf>
    <xf numFmtId="0" fontId="1" fillId="6" borderId="0" xfId="0" applyFont="1" applyFill="1"/>
    <xf numFmtId="0" fontId="0" fillId="0" borderId="0" xfId="0" applyAlignment="1">
      <alignment horizontal="center"/>
    </xf>
    <xf numFmtId="0" fontId="2" fillId="3" borderId="24" xfId="1" applyBorder="1"/>
    <xf numFmtId="0" fontId="2" fillId="3" borderId="25" xfId="1" applyBorder="1"/>
    <xf numFmtId="1" fontId="0" fillId="0" borderId="0" xfId="0" applyNumberFormat="1"/>
    <xf numFmtId="42" fontId="0" fillId="0" borderId="0" xfId="0" applyNumberFormat="1"/>
    <xf numFmtId="1" fontId="2" fillId="3" borderId="1" xfId="1" applyNumberFormat="1" applyBorder="1"/>
    <xf numFmtId="1" fontId="2" fillId="3" borderId="26" xfId="1" applyNumberFormat="1" applyBorder="1"/>
    <xf numFmtId="1" fontId="2" fillId="3" borderId="9" xfId="1" applyNumberFormat="1" applyBorder="1"/>
    <xf numFmtId="44" fontId="0" fillId="0" borderId="0" xfId="0" applyNumberFormat="1"/>
    <xf numFmtId="45" fontId="2" fillId="3" borderId="47" xfId="1" applyNumberFormat="1" applyBorder="1"/>
    <xf numFmtId="45" fontId="3" fillId="4" borderId="47" xfId="2" applyNumberFormat="1" applyBorder="1"/>
    <xf numFmtId="45" fontId="4" fillId="5" borderId="47" xfId="3" applyNumberFormat="1" applyBorder="1"/>
    <xf numFmtId="45" fontId="2" fillId="3" borderId="42" xfId="1" applyNumberFormat="1" applyBorder="1"/>
    <xf numFmtId="2" fontId="2" fillId="3" borderId="1" xfId="1" applyNumberFormat="1" applyBorder="1"/>
    <xf numFmtId="20" fontId="2" fillId="3" borderId="1" xfId="1" applyNumberFormat="1" applyBorder="1"/>
    <xf numFmtId="1" fontId="3" fillId="4" borderId="1" xfId="2" applyNumberFormat="1" applyBorder="1"/>
    <xf numFmtId="2" fontId="3" fillId="4" borderId="1" xfId="2" applyNumberFormat="1" applyBorder="1"/>
    <xf numFmtId="20" fontId="3" fillId="4" borderId="1" xfId="2" applyNumberFormat="1" applyBorder="1"/>
    <xf numFmtId="1" fontId="4" fillId="5" borderId="1" xfId="3" applyNumberFormat="1" applyBorder="1"/>
    <xf numFmtId="2" fontId="4" fillId="5" borderId="1" xfId="3" applyNumberFormat="1" applyBorder="1"/>
    <xf numFmtId="20" fontId="4" fillId="5" borderId="1" xfId="3" applyNumberFormat="1" applyBorder="1"/>
    <xf numFmtId="0" fontId="3" fillId="4" borderId="24" xfId="2" applyBorder="1"/>
    <xf numFmtId="0" fontId="4" fillId="5" borderId="24" xfId="3" applyBorder="1"/>
    <xf numFmtId="2" fontId="2" fillId="3" borderId="26" xfId="1" applyNumberFormat="1" applyBorder="1"/>
    <xf numFmtId="20" fontId="2" fillId="3" borderId="26" xfId="1" applyNumberFormat="1" applyBorder="1"/>
    <xf numFmtId="0" fontId="2" fillId="3" borderId="31" xfId="1" applyBorder="1"/>
    <xf numFmtId="2" fontId="2" fillId="3" borderId="9" xfId="1" applyNumberFormat="1" applyBorder="1"/>
    <xf numFmtId="20" fontId="2" fillId="3" borderId="9" xfId="1" applyNumberFormat="1" applyBorder="1"/>
    <xf numFmtId="45" fontId="2" fillId="3" borderId="37" xfId="1" applyNumberFormat="1" applyBorder="1"/>
    <xf numFmtId="164" fontId="0" fillId="0" borderId="0" xfId="0" applyNumberFormat="1"/>
    <xf numFmtId="0" fontId="7" fillId="10" borderId="25" xfId="7" applyBorder="1"/>
    <xf numFmtId="0" fontId="7" fillId="10" borderId="26" xfId="7" applyBorder="1"/>
    <xf numFmtId="0" fontId="7" fillId="10" borderId="42" xfId="7" applyBorder="1" applyAlignment="1">
      <alignment horizontal="center" wrapText="1"/>
    </xf>
    <xf numFmtId="0" fontId="2" fillId="3" borderId="69" xfId="1" applyBorder="1" applyAlignment="1">
      <alignment horizontal="center" vertical="center"/>
    </xf>
    <xf numFmtId="3" fontId="5" fillId="7" borderId="4" xfId="4" applyNumberFormat="1" applyBorder="1" applyAlignment="1">
      <alignment horizontal="center" vertical="center"/>
    </xf>
    <xf numFmtId="3" fontId="5" fillId="7" borderId="5" xfId="4" applyNumberFormat="1" applyBorder="1" applyAlignment="1">
      <alignment horizontal="center" vertical="center"/>
    </xf>
    <xf numFmtId="3" fontId="5" fillId="7" borderId="6" xfId="4" applyNumberFormat="1" applyBorder="1" applyAlignment="1">
      <alignment horizontal="center" vertical="center"/>
    </xf>
    <xf numFmtId="0" fontId="8" fillId="9" borderId="52" xfId="6" applyBorder="1" applyAlignment="1">
      <alignment horizontal="center"/>
    </xf>
    <xf numFmtId="0" fontId="8" fillId="9" borderId="53" xfId="6" applyBorder="1" applyAlignment="1">
      <alignment horizontal="center"/>
    </xf>
    <xf numFmtId="3" fontId="4" fillId="5" borderId="0" xfId="3" applyNumberFormat="1" applyBorder="1" applyAlignment="1">
      <alignment horizontal="center" vertical="center"/>
    </xf>
    <xf numFmtId="0" fontId="8" fillId="9" borderId="49" xfId="6" applyBorder="1" applyAlignment="1">
      <alignment horizontal="center" vertical="center" wrapText="1"/>
    </xf>
    <xf numFmtId="3" fontId="6" fillId="8" borderId="59" xfId="5" applyNumberFormat="1" applyBorder="1" applyAlignment="1">
      <alignment horizontal="center" vertical="center" wrapText="1"/>
    </xf>
    <xf numFmtId="3" fontId="6" fillId="8" borderId="41" xfId="5" applyNumberFormat="1" applyBorder="1" applyAlignment="1">
      <alignment horizontal="center" vertical="center"/>
    </xf>
    <xf numFmtId="3" fontId="6" fillId="8" borderId="31" xfId="5" applyNumberFormat="1" applyBorder="1" applyAlignment="1">
      <alignment horizontal="center" vertical="center"/>
    </xf>
    <xf numFmtId="0" fontId="8" fillId="9" borderId="45" xfId="6" applyBorder="1" applyAlignment="1">
      <alignment horizontal="center" vertical="center" wrapText="1"/>
    </xf>
    <xf numFmtId="0" fontId="12" fillId="11" borderId="82" xfId="0" applyFont="1" applyFill="1" applyBorder="1" applyAlignment="1">
      <alignment horizontal="left" vertical="top" wrapText="1"/>
    </xf>
    <xf numFmtId="0" fontId="0" fillId="12" borderId="0" xfId="0" applyFill="1"/>
    <xf numFmtId="0" fontId="12" fillId="11" borderId="83" xfId="0" applyFont="1" applyFill="1" applyBorder="1" applyAlignment="1">
      <alignment horizontal="left" vertical="top" wrapText="1"/>
    </xf>
    <xf numFmtId="15" fontId="13" fillId="11" borderId="84" xfId="0" applyNumberFormat="1" applyFont="1" applyFill="1" applyBorder="1" applyAlignment="1">
      <alignment horizontal="left" vertical="top" wrapText="1"/>
    </xf>
    <xf numFmtId="15" fontId="13" fillId="11" borderId="85" xfId="0" applyNumberFormat="1" applyFont="1" applyFill="1" applyBorder="1" applyAlignment="1">
      <alignment horizontal="left" vertical="top" wrapText="1"/>
    </xf>
    <xf numFmtId="44" fontId="14" fillId="0" borderId="0" xfId="0" applyNumberFormat="1" applyFont="1" applyAlignment="1">
      <alignment horizontal="right"/>
    </xf>
    <xf numFmtId="0" fontId="0" fillId="0" borderId="0" xfId="0" applyBorder="1"/>
    <xf numFmtId="0" fontId="15" fillId="13" borderId="86" xfId="0" applyFont="1" applyFill="1" applyBorder="1"/>
    <xf numFmtId="0" fontId="15" fillId="13" borderId="87" xfId="0" applyFont="1" applyFill="1" applyBorder="1"/>
    <xf numFmtId="1" fontId="15" fillId="13" borderId="87" xfId="0" applyNumberFormat="1" applyFont="1" applyFill="1" applyBorder="1"/>
    <xf numFmtId="44" fontId="16" fillId="13" borderId="88" xfId="0" applyNumberFormat="1" applyFont="1" applyFill="1" applyBorder="1" applyAlignment="1">
      <alignment horizontal="right"/>
    </xf>
    <xf numFmtId="0" fontId="0" fillId="0" borderId="89" xfId="0" applyBorder="1"/>
    <xf numFmtId="0" fontId="0" fillId="0" borderId="90" xfId="0" applyBorder="1"/>
    <xf numFmtId="0" fontId="0" fillId="0" borderId="91" xfId="0" applyBorder="1"/>
    <xf numFmtId="0" fontId="11" fillId="0" borderId="92" xfId="0" applyFont="1" applyBorder="1"/>
    <xf numFmtId="0" fontId="0" fillId="0" borderId="54" xfId="0" applyBorder="1"/>
    <xf numFmtId="0" fontId="0" fillId="0" borderId="92" xfId="0" applyBorder="1"/>
    <xf numFmtId="0" fontId="0" fillId="0" borderId="93" xfId="0" applyBorder="1"/>
    <xf numFmtId="0" fontId="0" fillId="0" borderId="27" xfId="0" applyBorder="1"/>
    <xf numFmtId="0" fontId="0" fillId="0" borderId="94" xfId="0" applyBorder="1"/>
    <xf numFmtId="1" fontId="6" fillId="8" borderId="86" xfId="5" applyNumberFormat="1" applyBorder="1"/>
    <xf numFmtId="1" fontId="6" fillId="8" borderId="87" xfId="5" applyNumberFormat="1" applyBorder="1"/>
    <xf numFmtId="1" fontId="6" fillId="8" borderId="88" xfId="5" applyNumberFormat="1" applyBorder="1"/>
    <xf numFmtId="0" fontId="0" fillId="0" borderId="51" xfId="0" applyBorder="1"/>
    <xf numFmtId="0" fontId="0" fillId="0" borderId="53" xfId="0" applyBorder="1"/>
    <xf numFmtId="0" fontId="7" fillId="10" borderId="30" xfId="7" applyBorder="1" applyAlignment="1">
      <alignment horizontal="center"/>
    </xf>
    <xf numFmtId="0" fontId="7" fillId="10" borderId="8" xfId="7" applyBorder="1" applyAlignment="1">
      <alignment horizontal="center"/>
    </xf>
    <xf numFmtId="0" fontId="7" fillId="10" borderId="75" xfId="7" applyBorder="1" applyAlignment="1">
      <alignment horizontal="center"/>
    </xf>
    <xf numFmtId="0" fontId="8" fillId="9" borderId="89" xfId="6" applyBorder="1" applyAlignment="1">
      <alignment horizontal="center"/>
    </xf>
    <xf numFmtId="0" fontId="8" fillId="9" borderId="50" xfId="6" applyBorder="1" applyAlignment="1">
      <alignment horizontal="center" vertical="center" wrapText="1"/>
    </xf>
    <xf numFmtId="3" fontId="6" fillId="8" borderId="55" xfId="5" applyNumberFormat="1" applyBorder="1" applyAlignment="1">
      <alignment horizontal="center" vertical="center"/>
    </xf>
    <xf numFmtId="0" fontId="17" fillId="0" borderId="0" xfId="0" applyFont="1"/>
    <xf numFmtId="0" fontId="19" fillId="0" borderId="0" xfId="0" applyFont="1"/>
    <xf numFmtId="0" fontId="20" fillId="0" borderId="0" xfId="0" applyFont="1"/>
    <xf numFmtId="0" fontId="18" fillId="0" borderId="0" xfId="0" applyFont="1"/>
    <xf numFmtId="0" fontId="0" fillId="0" borderId="0" xfId="0" applyAlignment="1">
      <alignment horizontal="center"/>
    </xf>
    <xf numFmtId="0" fontId="0" fillId="0" borderId="7" xfId="0" applyBorder="1"/>
    <xf numFmtId="164" fontId="0" fillId="0" borderId="4" xfId="0" applyNumberFormat="1" applyBorder="1"/>
    <xf numFmtId="164" fontId="0" fillId="0" borderId="19" xfId="0" applyNumberFormat="1" applyBorder="1"/>
    <xf numFmtId="164" fontId="0" fillId="0" borderId="34" xfId="0" applyNumberFormat="1" applyBorder="1"/>
    <xf numFmtId="164" fontId="0" fillId="0" borderId="5" xfId="0" applyNumberFormat="1" applyBorder="1"/>
    <xf numFmtId="164" fontId="0" fillId="0" borderId="0" xfId="0" applyNumberFormat="1" applyBorder="1"/>
    <xf numFmtId="164" fontId="0" fillId="0" borderId="35" xfId="0" applyNumberFormat="1" applyBorder="1"/>
    <xf numFmtId="164" fontId="0" fillId="0" borderId="6" xfId="0" applyNumberFormat="1" applyBorder="1"/>
    <xf numFmtId="164" fontId="0" fillId="0" borderId="20" xfId="0" applyNumberFormat="1" applyBorder="1"/>
    <xf numFmtId="164" fontId="0" fillId="0" borderId="36" xfId="0" applyNumberFormat="1" applyBorder="1"/>
    <xf numFmtId="0" fontId="0" fillId="0" borderId="4" xfId="0" applyBorder="1"/>
    <xf numFmtId="0" fontId="0" fillId="0" borderId="19" xfId="0" applyBorder="1"/>
    <xf numFmtId="0" fontId="0" fillId="0" borderId="34" xfId="0" applyBorder="1"/>
    <xf numFmtId="164" fontId="0" fillId="0" borderId="7" xfId="0" applyNumberFormat="1" applyBorder="1"/>
    <xf numFmtId="164" fontId="0" fillId="0" borderId="8" xfId="0" applyNumberFormat="1" applyBorder="1"/>
    <xf numFmtId="164" fontId="0" fillId="0" borderId="9" xfId="0" applyNumberFormat="1" applyBorder="1"/>
    <xf numFmtId="0" fontId="0" fillId="0" borderId="0" xfId="0" applyAlignment="1">
      <alignment horizontal="center"/>
    </xf>
    <xf numFmtId="3" fontId="2" fillId="3" borderId="4" xfId="1" applyNumberFormat="1" applyBorder="1" applyAlignment="1">
      <alignment horizontal="center" vertical="center"/>
    </xf>
    <xf numFmtId="3" fontId="2" fillId="3" borderId="5" xfId="1" applyNumberFormat="1" applyBorder="1" applyAlignment="1">
      <alignment horizontal="center" vertical="center"/>
    </xf>
    <xf numFmtId="3" fontId="2" fillId="3" borderId="76" xfId="1" applyNumberFormat="1" applyBorder="1" applyAlignment="1">
      <alignment horizontal="center" vertical="center"/>
    </xf>
    <xf numFmtId="3" fontId="2" fillId="3" borderId="34" xfId="1" applyNumberFormat="1" applyBorder="1" applyAlignment="1">
      <alignment horizontal="center" vertical="center"/>
    </xf>
    <xf numFmtId="3" fontId="2" fillId="3" borderId="35" xfId="1" applyNumberFormat="1" applyBorder="1" applyAlignment="1">
      <alignment horizontal="center" vertical="center"/>
    </xf>
    <xf numFmtId="3" fontId="2" fillId="3" borderId="77" xfId="1" applyNumberFormat="1" applyBorder="1" applyAlignment="1">
      <alignment horizontal="center" vertical="center"/>
    </xf>
    <xf numFmtId="3" fontId="4" fillId="5" borderId="32" xfId="3" applyNumberFormat="1" applyBorder="1" applyAlignment="1">
      <alignment horizontal="center" vertical="center"/>
    </xf>
    <xf numFmtId="3" fontId="4" fillId="5" borderId="73" xfId="3" applyNumberFormat="1" applyBorder="1" applyAlignment="1">
      <alignment horizontal="center" vertical="center"/>
    </xf>
    <xf numFmtId="3" fontId="4" fillId="5" borderId="48" xfId="3" applyNumberFormat="1" applyBorder="1" applyAlignment="1">
      <alignment horizontal="center" vertical="center"/>
    </xf>
    <xf numFmtId="3" fontId="4" fillId="5" borderId="3" xfId="3" applyNumberFormat="1" applyBorder="1" applyAlignment="1">
      <alignment horizontal="center" vertical="center"/>
    </xf>
    <xf numFmtId="3" fontId="2" fillId="3" borderId="7" xfId="1" applyNumberFormat="1" applyBorder="1" applyAlignment="1">
      <alignment horizontal="center" vertical="center"/>
    </xf>
    <xf numFmtId="3" fontId="2" fillId="3" borderId="8" xfId="1" applyNumberFormat="1" applyBorder="1" applyAlignment="1">
      <alignment horizontal="center" vertical="center"/>
    </xf>
    <xf numFmtId="3" fontId="2" fillId="3" borderId="40" xfId="1" applyNumberFormat="1" applyBorder="1" applyAlignment="1">
      <alignment horizontal="center" vertical="center"/>
    </xf>
    <xf numFmtId="3" fontId="4" fillId="5" borderId="3" xfId="3" applyNumberFormat="1" applyAlignment="1">
      <alignment horizontal="center" vertical="center"/>
    </xf>
    <xf numFmtId="3" fontId="2" fillId="3" borderId="72" xfId="1" applyNumberFormat="1" applyBorder="1" applyAlignment="1">
      <alignment horizontal="center" vertical="center"/>
    </xf>
    <xf numFmtId="3" fontId="2" fillId="3" borderId="9" xfId="1" applyNumberFormat="1" applyBorder="1" applyAlignment="1">
      <alignment horizontal="center" vertical="center"/>
    </xf>
    <xf numFmtId="9" fontId="3" fillId="4" borderId="2" xfId="2" applyNumberFormat="1" applyBorder="1" applyAlignment="1">
      <alignment horizontal="center" vertical="center"/>
    </xf>
    <xf numFmtId="3" fontId="2" fillId="3" borderId="74" xfId="1" applyNumberFormat="1" applyBorder="1" applyAlignment="1">
      <alignment horizontal="center" vertical="center"/>
    </xf>
    <xf numFmtId="3" fontId="2" fillId="3" borderId="75" xfId="1" applyNumberFormat="1" applyBorder="1" applyAlignment="1">
      <alignment horizontal="center" vertical="center"/>
    </xf>
    <xf numFmtId="3" fontId="2" fillId="3" borderId="37" xfId="1" applyNumberFormat="1" applyBorder="1" applyAlignment="1">
      <alignment horizontal="center" vertical="center"/>
    </xf>
    <xf numFmtId="3" fontId="2" fillId="3" borderId="97" xfId="1" applyNumberFormat="1" applyBorder="1" applyAlignment="1">
      <alignment horizontal="center" vertical="center"/>
    </xf>
    <xf numFmtId="3" fontId="2" fillId="3" borderId="100" xfId="1" applyNumberFormat="1" applyBorder="1" applyAlignment="1">
      <alignment horizontal="center" vertical="center"/>
    </xf>
    <xf numFmtId="3" fontId="2" fillId="3" borderId="99" xfId="1" applyNumberFormat="1" applyBorder="1" applyAlignment="1">
      <alignment horizontal="center" vertical="center"/>
    </xf>
    <xf numFmtId="44" fontId="4" fillId="5" borderId="39" xfId="3" applyNumberFormat="1" applyBorder="1" applyAlignment="1">
      <alignment horizontal="center" vertical="center"/>
    </xf>
    <xf numFmtId="44" fontId="5" fillId="7" borderId="47" xfId="4" applyNumberFormat="1" applyBorder="1" applyAlignment="1">
      <alignment horizontal="center" vertical="center"/>
    </xf>
    <xf numFmtId="44" fontId="3" fillId="4" borderId="2" xfId="2" applyNumberFormat="1" applyAlignment="1">
      <alignment horizontal="center" vertical="center"/>
    </xf>
    <xf numFmtId="44" fontId="2" fillId="3" borderId="47" xfId="1" applyNumberFormat="1" applyBorder="1" applyAlignment="1">
      <alignment horizontal="center" vertical="center"/>
    </xf>
    <xf numFmtId="44" fontId="2" fillId="3" borderId="42" xfId="1" applyNumberFormat="1" applyBorder="1" applyAlignment="1">
      <alignment horizontal="center" vertical="center"/>
    </xf>
    <xf numFmtId="3" fontId="2" fillId="3" borderId="1" xfId="1" applyNumberFormat="1" applyBorder="1" applyAlignment="1">
      <alignment horizontal="center" vertical="center"/>
    </xf>
    <xf numFmtId="3" fontId="2" fillId="3" borderId="26" xfId="1" applyNumberFormat="1" applyBorder="1" applyAlignment="1">
      <alignment horizontal="center" vertical="center"/>
    </xf>
    <xf numFmtId="3" fontId="3" fillId="4" borderId="2" xfId="2" applyNumberFormat="1" applyAlignment="1">
      <alignment horizontal="center" vertical="center"/>
    </xf>
    <xf numFmtId="3" fontId="2" fillId="3" borderId="43" xfId="1" applyNumberFormat="1" applyBorder="1" applyAlignment="1">
      <alignment horizontal="center" vertical="center"/>
    </xf>
    <xf numFmtId="9" fontId="2" fillId="3" borderId="1" xfId="1" applyNumberFormat="1" applyBorder="1" applyAlignment="1">
      <alignment horizontal="center" vertical="center"/>
    </xf>
    <xf numFmtId="0" fontId="8" fillId="9" borderId="80" xfId="6" applyBorder="1" applyAlignment="1">
      <alignment horizontal="center" vertical="center" wrapText="1"/>
    </xf>
    <xf numFmtId="0" fontId="8" fillId="9" borderId="81" xfId="6" applyBorder="1" applyAlignment="1">
      <alignment horizontal="center" vertical="center"/>
    </xf>
    <xf numFmtId="3" fontId="2" fillId="3" borderId="36" xfId="1" applyNumberFormat="1" applyBorder="1" applyAlignment="1">
      <alignment horizontal="center" vertical="center"/>
    </xf>
    <xf numFmtId="3" fontId="5" fillId="7" borderId="1" xfId="4" applyNumberFormat="1" applyBorder="1" applyAlignment="1">
      <alignment horizontal="center" vertical="center"/>
    </xf>
    <xf numFmtId="3" fontId="2" fillId="3" borderId="98" xfId="1" applyNumberFormat="1" applyBorder="1" applyAlignment="1">
      <alignment horizontal="center" vertical="center"/>
    </xf>
    <xf numFmtId="9" fontId="2" fillId="3" borderId="9" xfId="1" applyNumberFormat="1" applyBorder="1" applyAlignment="1">
      <alignment horizontal="center" vertical="center"/>
    </xf>
    <xf numFmtId="9" fontId="2" fillId="3" borderId="7" xfId="1" applyNumberFormat="1" applyBorder="1" applyAlignment="1">
      <alignment horizontal="center" vertical="center"/>
    </xf>
    <xf numFmtId="9" fontId="2" fillId="3" borderId="23" xfId="1" applyNumberFormat="1" applyBorder="1" applyAlignment="1">
      <alignment horizontal="center" vertical="center"/>
    </xf>
    <xf numFmtId="9" fontId="2" fillId="3" borderId="26" xfId="1" applyNumberFormat="1" applyBorder="1" applyAlignment="1">
      <alignment horizontal="center" vertical="center"/>
    </xf>
    <xf numFmtId="9" fontId="2" fillId="3" borderId="7" xfId="1" applyNumberFormat="1" applyBorder="1" applyAlignment="1">
      <alignment horizontal="center" vertical="center" wrapText="1"/>
    </xf>
    <xf numFmtId="0" fontId="2" fillId="3" borderId="8" xfId="1" applyBorder="1" applyAlignment="1">
      <alignment horizontal="center" vertical="center" wrapText="1"/>
    </xf>
    <xf numFmtId="0" fontId="2" fillId="3" borderId="40" xfId="1" applyBorder="1" applyAlignment="1">
      <alignment horizontal="center" vertical="center" wrapText="1"/>
    </xf>
    <xf numFmtId="9" fontId="2" fillId="3" borderId="99" xfId="1" applyNumberFormat="1" applyBorder="1" applyAlignment="1">
      <alignment horizontal="center" vertical="center" wrapText="1"/>
    </xf>
    <xf numFmtId="9" fontId="2" fillId="3" borderId="8" xfId="1" applyNumberFormat="1" applyBorder="1" applyAlignment="1">
      <alignment horizontal="center" vertical="center" wrapText="1"/>
    </xf>
    <xf numFmtId="9" fontId="3" fillId="4" borderId="21" xfId="2" applyNumberFormat="1" applyBorder="1" applyAlignment="1">
      <alignment horizontal="center" vertical="center"/>
    </xf>
    <xf numFmtId="9" fontId="3" fillId="4" borderId="101" xfId="2" applyNumberFormat="1" applyBorder="1" applyAlignment="1">
      <alignment horizontal="center" vertical="center"/>
    </xf>
    <xf numFmtId="1" fontId="4" fillId="5" borderId="48" xfId="3" applyNumberFormat="1" applyBorder="1" applyAlignment="1">
      <alignment horizontal="center" vertical="center"/>
    </xf>
    <xf numFmtId="1" fontId="4" fillId="5" borderId="3" xfId="3" applyNumberFormat="1" applyBorder="1" applyAlignment="1">
      <alignment horizontal="center" vertical="center"/>
    </xf>
    <xf numFmtId="1" fontId="4" fillId="5" borderId="32" xfId="3" applyNumberFormat="1" applyBorder="1" applyAlignment="1">
      <alignment horizontal="center" vertical="center"/>
    </xf>
    <xf numFmtId="3" fontId="5" fillId="7" borderId="4" xfId="4" applyNumberFormat="1" applyBorder="1" applyAlignment="1">
      <alignment horizontal="center" vertical="center"/>
    </xf>
    <xf numFmtId="3" fontId="5" fillId="7" borderId="5" xfId="4" applyNumberFormat="1" applyBorder="1" applyAlignment="1">
      <alignment horizontal="center" vertical="center"/>
    </xf>
    <xf numFmtId="3" fontId="5" fillId="7" borderId="6" xfId="4" applyNumberFormat="1" applyBorder="1" applyAlignment="1">
      <alignment horizontal="center" vertical="center"/>
    </xf>
    <xf numFmtId="3" fontId="2" fillId="3" borderId="6" xfId="1" applyNumberFormat="1" applyBorder="1" applyAlignment="1">
      <alignment horizontal="center" vertical="center"/>
    </xf>
    <xf numFmtId="9" fontId="2" fillId="3" borderId="19" xfId="1" applyNumberFormat="1" applyBorder="1" applyAlignment="1">
      <alignment horizontal="center" vertical="center"/>
    </xf>
    <xf numFmtId="0" fontId="2" fillId="3" borderId="0" xfId="1" applyBorder="1" applyAlignment="1">
      <alignment horizontal="center" vertical="center"/>
    </xf>
    <xf numFmtId="0" fontId="2" fillId="3" borderId="20" xfId="1" applyBorder="1" applyAlignment="1">
      <alignment horizontal="center" vertical="center"/>
    </xf>
    <xf numFmtId="0" fontId="2" fillId="3" borderId="29" xfId="1" applyBorder="1" applyAlignment="1">
      <alignment horizontal="center" vertical="center"/>
    </xf>
    <xf numFmtId="0" fontId="2" fillId="3" borderId="30" xfId="1" applyBorder="1" applyAlignment="1">
      <alignment horizontal="center" vertical="center"/>
    </xf>
    <xf numFmtId="0" fontId="6" fillId="8" borderId="54" xfId="5" applyBorder="1" applyAlignment="1">
      <alignment horizontal="center" vertical="center" wrapText="1"/>
    </xf>
    <xf numFmtId="3" fontId="3" fillId="4" borderId="101" xfId="2" applyNumberFormat="1" applyBorder="1" applyAlignment="1">
      <alignment horizontal="center" vertical="center"/>
    </xf>
    <xf numFmtId="3" fontId="2" fillId="3" borderId="0" xfId="1" applyNumberFormat="1" applyBorder="1" applyAlignment="1">
      <alignment horizontal="center" vertical="center"/>
    </xf>
    <xf numFmtId="3" fontId="2" fillId="3" borderId="20" xfId="1" applyNumberFormat="1" applyBorder="1" applyAlignment="1">
      <alignment horizontal="center" vertical="center"/>
    </xf>
    <xf numFmtId="0" fontId="6" fillId="8" borderId="29" xfId="5" applyBorder="1" applyAlignment="1">
      <alignment horizontal="center" vertical="center"/>
    </xf>
    <xf numFmtId="0" fontId="6" fillId="8" borderId="30" xfId="5" applyBorder="1" applyAlignment="1">
      <alignment horizontal="center" vertical="center"/>
    </xf>
    <xf numFmtId="0" fontId="6" fillId="8" borderId="62" xfId="5" applyBorder="1" applyAlignment="1">
      <alignment horizontal="center" vertical="center"/>
    </xf>
    <xf numFmtId="0" fontId="6" fillId="8" borderId="58" xfId="5" applyBorder="1" applyAlignment="1">
      <alignment horizontal="center" vertical="center"/>
    </xf>
    <xf numFmtId="3" fontId="2" fillId="3" borderId="15" xfId="1" applyNumberFormat="1" applyBorder="1" applyAlignment="1">
      <alignment horizontal="center" vertical="center"/>
    </xf>
    <xf numFmtId="0" fontId="6" fillId="8" borderId="29" xfId="5" applyBorder="1" applyAlignment="1">
      <alignment horizontal="center" vertical="center" wrapText="1"/>
    </xf>
    <xf numFmtId="0" fontId="6" fillId="8" borderId="30" xfId="5" applyBorder="1" applyAlignment="1">
      <alignment horizontal="center" vertical="center" wrapText="1"/>
    </xf>
    <xf numFmtId="3" fontId="5" fillId="7" borderId="56" xfId="4" applyNumberFormat="1" applyBorder="1" applyAlignment="1">
      <alignment horizontal="center" vertical="center"/>
    </xf>
    <xf numFmtId="3" fontId="5" fillId="7" borderId="54" xfId="4" applyNumberFormat="1" applyBorder="1" applyAlignment="1">
      <alignment horizontal="center" vertical="center"/>
    </xf>
    <xf numFmtId="3" fontId="5" fillId="7" borderId="55" xfId="4" applyNumberFormat="1" applyBorder="1" applyAlignment="1">
      <alignment horizontal="center" vertical="center"/>
    </xf>
    <xf numFmtId="0" fontId="4" fillId="5" borderId="38" xfId="3" applyBorder="1" applyAlignment="1">
      <alignment horizontal="center" vertical="center"/>
    </xf>
    <xf numFmtId="0" fontId="5" fillId="7" borderId="56" xfId="4" applyBorder="1" applyAlignment="1">
      <alignment horizontal="center" vertical="center"/>
    </xf>
    <xf numFmtId="0" fontId="5" fillId="7" borderId="54" xfId="4" applyBorder="1" applyAlignment="1">
      <alignment horizontal="center" vertical="center"/>
    </xf>
    <xf numFmtId="0" fontId="5" fillId="7" borderId="55" xfId="4" applyBorder="1" applyAlignment="1">
      <alignment horizontal="center" vertical="center"/>
    </xf>
    <xf numFmtId="0" fontId="6" fillId="8" borderId="56" xfId="5" applyBorder="1" applyAlignment="1">
      <alignment horizontal="center" vertical="center"/>
    </xf>
    <xf numFmtId="0" fontId="6" fillId="8" borderId="54" xfId="5" applyBorder="1" applyAlignment="1">
      <alignment horizontal="center" vertical="center"/>
    </xf>
    <xf numFmtId="0" fontId="6" fillId="8" borderId="57" xfId="5" applyBorder="1" applyAlignment="1">
      <alignment horizontal="center" vertical="center" wrapText="1"/>
    </xf>
    <xf numFmtId="0" fontId="6" fillId="8" borderId="58" xfId="5" applyBorder="1" applyAlignment="1">
      <alignment horizontal="center" vertical="center" wrapText="1"/>
    </xf>
    <xf numFmtId="0" fontId="2" fillId="3" borderId="27" xfId="1" applyBorder="1" applyAlignment="1">
      <alignment horizontal="center" vertical="center"/>
    </xf>
    <xf numFmtId="0" fontId="2" fillId="3" borderId="7" xfId="1" applyBorder="1" applyAlignment="1">
      <alignment horizontal="center" vertical="center"/>
    </xf>
    <xf numFmtId="0" fontId="2" fillId="3" borderId="8" xfId="1" applyBorder="1" applyAlignment="1">
      <alignment horizontal="center" vertical="center"/>
    </xf>
    <xf numFmtId="0" fontId="2" fillId="3" borderId="9" xfId="1" applyBorder="1" applyAlignment="1">
      <alignment horizontal="center" vertical="center"/>
    </xf>
    <xf numFmtId="0" fontId="2" fillId="3" borderId="40" xfId="1" applyBorder="1" applyAlignment="1">
      <alignment horizontal="center" vertical="center"/>
    </xf>
    <xf numFmtId="1" fontId="4" fillId="5" borderId="3" xfId="3" applyNumberFormat="1" applyAlignment="1">
      <alignment horizontal="center" vertical="center"/>
    </xf>
    <xf numFmtId="3" fontId="2" fillId="3" borderId="45" xfId="1" applyNumberFormat="1" applyBorder="1" applyAlignment="1">
      <alignment horizontal="center" vertical="center"/>
    </xf>
    <xf numFmtId="3" fontId="2" fillId="3" borderId="30" xfId="1" applyNumberFormat="1" applyBorder="1" applyAlignment="1">
      <alignment horizontal="center" vertical="center"/>
    </xf>
    <xf numFmtId="3" fontId="2" fillId="3" borderId="69" xfId="1" applyNumberFormat="1" applyBorder="1" applyAlignment="1">
      <alignment horizontal="center" vertical="center"/>
    </xf>
    <xf numFmtId="3" fontId="5" fillId="7" borderId="7" xfId="4" applyNumberFormat="1" applyBorder="1" applyAlignment="1">
      <alignment horizontal="center" vertical="center"/>
    </xf>
    <xf numFmtId="3" fontId="5" fillId="7" borderId="8" xfId="4" applyNumberFormat="1" applyBorder="1" applyAlignment="1">
      <alignment horizontal="center" vertical="center"/>
    </xf>
    <xf numFmtId="3" fontId="2" fillId="3" borderId="89" xfId="1" applyNumberFormat="1" applyBorder="1" applyAlignment="1">
      <alignment horizontal="center" vertical="center"/>
    </xf>
    <xf numFmtId="3" fontId="2" fillId="3" borderId="54" xfId="1" applyNumberFormat="1" applyBorder="1" applyAlignment="1">
      <alignment horizontal="center" vertical="center"/>
    </xf>
    <xf numFmtId="3" fontId="2" fillId="3" borderId="93" xfId="1" applyNumberFormat="1" applyBorder="1" applyAlignment="1">
      <alignment horizontal="center" vertical="center"/>
    </xf>
    <xf numFmtId="0" fontId="4" fillId="5" borderId="3" xfId="3" applyBorder="1" applyAlignment="1">
      <alignment horizontal="center" vertical="center"/>
    </xf>
    <xf numFmtId="0" fontId="3" fillId="4" borderId="21" xfId="2" applyBorder="1" applyAlignment="1">
      <alignment horizontal="center" vertical="center"/>
    </xf>
    <xf numFmtId="0" fontId="3" fillId="4" borderId="2" xfId="2" applyBorder="1" applyAlignment="1">
      <alignment horizontal="center" vertical="center"/>
    </xf>
    <xf numFmtId="0" fontId="3" fillId="4" borderId="13" xfId="2" applyBorder="1" applyAlignment="1">
      <alignment horizontal="center" vertical="center"/>
    </xf>
    <xf numFmtId="0" fontId="3" fillId="4" borderId="11" xfId="2" applyBorder="1" applyAlignment="1">
      <alignment horizontal="center" vertical="center"/>
    </xf>
    <xf numFmtId="0" fontId="3" fillId="4" borderId="18" xfId="2" applyBorder="1" applyAlignment="1">
      <alignment horizontal="center" vertical="center"/>
    </xf>
    <xf numFmtId="0" fontId="2" fillId="3" borderId="4" xfId="1" applyBorder="1" applyAlignment="1">
      <alignment horizontal="center" vertical="center"/>
    </xf>
    <xf numFmtId="0" fontId="2" fillId="3" borderId="5" xfId="1" applyBorder="1" applyAlignment="1">
      <alignment horizontal="center" vertical="center"/>
    </xf>
    <xf numFmtId="0" fontId="2" fillId="3" borderId="6" xfId="1" applyBorder="1" applyAlignment="1">
      <alignment horizontal="center" vertical="center"/>
    </xf>
    <xf numFmtId="0" fontId="3" fillId="4" borderId="14" xfId="2" applyBorder="1" applyAlignment="1">
      <alignment horizontal="center" vertical="center"/>
    </xf>
    <xf numFmtId="0" fontId="3" fillId="4" borderId="44" xfId="2" applyBorder="1" applyAlignment="1">
      <alignment horizontal="center" vertical="center"/>
    </xf>
    <xf numFmtId="0" fontId="4" fillId="5" borderId="33" xfId="3" applyBorder="1" applyAlignment="1">
      <alignment horizontal="center" vertical="center"/>
    </xf>
    <xf numFmtId="0" fontId="3" fillId="4" borderId="17" xfId="2" applyBorder="1" applyAlignment="1">
      <alignment horizontal="center" vertical="center"/>
    </xf>
    <xf numFmtId="0" fontId="3" fillId="4" borderId="10" xfId="2" applyBorder="1" applyAlignment="1">
      <alignment horizontal="center" vertical="center"/>
    </xf>
    <xf numFmtId="0" fontId="4" fillId="5" borderId="3" xfId="3" applyAlignment="1">
      <alignment horizontal="center" vertical="center"/>
    </xf>
    <xf numFmtId="0" fontId="4" fillId="5" borderId="66" xfId="3" applyBorder="1" applyAlignment="1">
      <alignment horizontal="center" vertical="center"/>
    </xf>
    <xf numFmtId="0" fontId="4" fillId="5" borderId="67" xfId="3" applyBorder="1" applyAlignment="1">
      <alignment horizontal="center" vertical="center"/>
    </xf>
    <xf numFmtId="0" fontId="4" fillId="5" borderId="68" xfId="3" applyBorder="1" applyAlignment="1">
      <alignment horizontal="center" vertical="center"/>
    </xf>
    <xf numFmtId="3" fontId="5" fillId="7" borderId="29" xfId="4" applyNumberFormat="1" applyBorder="1" applyAlignment="1">
      <alignment horizontal="center" vertical="center"/>
    </xf>
    <xf numFmtId="3" fontId="5" fillId="7" borderId="30" xfId="4" applyNumberFormat="1" applyBorder="1" applyAlignment="1">
      <alignment horizontal="center" vertical="center"/>
    </xf>
    <xf numFmtId="3" fontId="5" fillId="7" borderId="31" xfId="4" applyNumberFormat="1" applyBorder="1" applyAlignment="1">
      <alignment horizontal="center" vertical="center"/>
    </xf>
    <xf numFmtId="3" fontId="5" fillId="7" borderId="65" xfId="4" applyNumberFormat="1" applyBorder="1" applyAlignment="1">
      <alignment horizontal="center" vertical="center"/>
    </xf>
    <xf numFmtId="3" fontId="5" fillId="7" borderId="61" xfId="4" applyNumberFormat="1" applyBorder="1" applyAlignment="1">
      <alignment horizontal="center" vertical="center"/>
    </xf>
    <xf numFmtId="0" fontId="2" fillId="3" borderId="15" xfId="1" applyBorder="1" applyAlignment="1">
      <alignment horizontal="center" vertical="center"/>
    </xf>
    <xf numFmtId="0" fontId="3" fillId="4" borderId="12" xfId="2" applyBorder="1" applyAlignment="1">
      <alignment horizontal="center" vertical="center"/>
    </xf>
    <xf numFmtId="0" fontId="3" fillId="4" borderId="70" xfId="2" applyBorder="1" applyAlignment="1">
      <alignment horizontal="center" vertical="center"/>
    </xf>
    <xf numFmtId="0" fontId="0" fillId="0" borderId="58" xfId="0" applyBorder="1"/>
    <xf numFmtId="0" fontId="0" fillId="0" borderId="71" xfId="0" applyBorder="1"/>
    <xf numFmtId="0" fontId="2" fillId="3" borderId="24" xfId="1" applyBorder="1" applyAlignment="1">
      <alignment horizontal="center" vertical="center"/>
    </xf>
    <xf numFmtId="0" fontId="3" fillId="4" borderId="28" xfId="2" applyBorder="1" applyAlignment="1">
      <alignment horizontal="center" vertical="center"/>
    </xf>
    <xf numFmtId="0" fontId="2" fillId="3" borderId="25" xfId="1" applyBorder="1" applyAlignment="1">
      <alignment horizontal="center" vertical="center"/>
    </xf>
    <xf numFmtId="0" fontId="2" fillId="3" borderId="16" xfId="1" applyBorder="1" applyAlignment="1">
      <alignment horizontal="center" vertical="center"/>
    </xf>
    <xf numFmtId="0" fontId="2" fillId="3" borderId="43" xfId="1" applyBorder="1" applyAlignment="1">
      <alignment horizontal="center" vertical="center"/>
    </xf>
    <xf numFmtId="0" fontId="7" fillId="10" borderId="22" xfId="7" applyBorder="1" applyAlignment="1">
      <alignment horizontal="center"/>
    </xf>
    <xf numFmtId="0" fontId="7" fillId="10" borderId="23" xfId="7" applyBorder="1" applyAlignment="1">
      <alignment horizontal="center"/>
    </xf>
    <xf numFmtId="0" fontId="7" fillId="10" borderId="46" xfId="7" applyBorder="1" applyAlignment="1">
      <alignment horizontal="center"/>
    </xf>
    <xf numFmtId="0" fontId="8" fillId="9" borderId="51" xfId="6" applyBorder="1" applyAlignment="1">
      <alignment horizontal="center"/>
    </xf>
    <xf numFmtId="0" fontId="8" fillId="9" borderId="52" xfId="6" applyBorder="1" applyAlignment="1">
      <alignment horizontal="center"/>
    </xf>
    <xf numFmtId="0" fontId="8" fillId="9" borderId="53" xfId="6" applyBorder="1" applyAlignment="1">
      <alignment horizontal="center"/>
    </xf>
    <xf numFmtId="1" fontId="4" fillId="5" borderId="78" xfId="3" applyNumberFormat="1" applyBorder="1" applyAlignment="1">
      <alignment horizontal="center" vertical="center"/>
    </xf>
    <xf numFmtId="1" fontId="4" fillId="5" borderId="79" xfId="3" applyNumberFormat="1" applyBorder="1" applyAlignment="1">
      <alignment horizontal="center" vertical="center"/>
    </xf>
    <xf numFmtId="3" fontId="5" fillId="7" borderId="63" xfId="4" applyNumberFormat="1" applyBorder="1" applyAlignment="1">
      <alignment horizontal="center" vertical="center"/>
    </xf>
    <xf numFmtId="3" fontId="5" fillId="7" borderId="64" xfId="4" applyNumberFormat="1" applyBorder="1" applyAlignment="1">
      <alignment horizontal="center" vertical="center"/>
    </xf>
    <xf numFmtId="3" fontId="5" fillId="7" borderId="60" xfId="4" applyNumberFormat="1" applyBorder="1" applyAlignment="1">
      <alignment horizontal="center" vertical="center"/>
    </xf>
    <xf numFmtId="3" fontId="4" fillId="5" borderId="79" xfId="3" applyNumberFormat="1" applyBorder="1" applyAlignment="1">
      <alignment horizontal="center" vertical="center"/>
    </xf>
    <xf numFmtId="3" fontId="4" fillId="5" borderId="95" xfId="3" applyNumberFormat="1" applyBorder="1" applyAlignment="1">
      <alignment horizontal="center" vertical="center"/>
    </xf>
    <xf numFmtId="3" fontId="4" fillId="5" borderId="96" xfId="3" applyNumberFormat="1" applyBorder="1" applyAlignment="1">
      <alignment horizontal="center" vertical="center"/>
    </xf>
    <xf numFmtId="0" fontId="0" fillId="0" borderId="1" xfId="0" applyFill="1" applyBorder="1"/>
    <xf numFmtId="0" fontId="0" fillId="2" borderId="1" xfId="0" applyFill="1" applyBorder="1"/>
    <xf numFmtId="0" fontId="0" fillId="0" borderId="1" xfId="0" applyBorder="1"/>
    <xf numFmtId="0" fontId="4" fillId="5" borderId="102" xfId="3" applyBorder="1" applyAlignment="1">
      <alignment horizontal="center" vertical="center"/>
    </xf>
    <xf numFmtId="0" fontId="4" fillId="5" borderId="103" xfId="3" applyBorder="1" applyAlignment="1">
      <alignment horizontal="center" vertical="center"/>
    </xf>
    <xf numFmtId="0" fontId="4" fillId="5" borderId="60" xfId="3" applyBorder="1" applyAlignment="1">
      <alignment horizontal="center" vertical="center"/>
    </xf>
    <xf numFmtId="0" fontId="0" fillId="0" borderId="7" xfId="0" applyBorder="1"/>
    <xf numFmtId="0" fontId="0" fillId="0" borderId="8" xfId="0" applyBorder="1"/>
    <xf numFmtId="0" fontId="0" fillId="0" borderId="9" xfId="0" applyBorder="1"/>
  </cellXfs>
  <cellStyles count="8">
    <cellStyle name="40% - Accent3" xfId="7" builtinId="39"/>
    <cellStyle name="Accent1" xfId="6" builtinId="29"/>
    <cellStyle name="Bad" xfId="5" builtinId="27"/>
    <cellStyle name="Check Cell" xfId="3" builtinId="23"/>
    <cellStyle name="Good" xfId="4" builtinId="26"/>
    <cellStyle name="Input" xfId="2" builtinId="20"/>
    <cellStyle name="Neutral" xfId="1" builtinId="2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rpdata\Data\environment%20services\Natural%20Environment%20Services\Toilets\Project%20Board\Counters%20&amp;%20Figures\Comters%2020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ummary"/>
      <sheetName val="Total Usage"/>
      <sheetName val="Total Counts"/>
      <sheetName val="Paignton &amp; Apollo"/>
      <sheetName val="Bank Lane"/>
      <sheetName val="Bank Lane - Line Graph"/>
      <sheetName val="Brixham Harbour"/>
      <sheetName val="Brixham Harbour Chart"/>
      <sheetName val="Goodrington"/>
      <sheetName val="Goodrington Usage"/>
      <sheetName val="Apollo "/>
      <sheetName val="Apollo Chart"/>
      <sheetName val="Paignton Central"/>
      <sheetName val="Paignton Central Chart"/>
      <sheetName val="Preston North PA "/>
      <sheetName val="Preston North Line Graph"/>
      <sheetName val="Corbyn"/>
      <sheetName val="Meadfoot TQ"/>
      <sheetName val="Meadfoot Chart"/>
      <sheetName val="Lymington Road TQ"/>
      <sheetName val="Lymington Road Chart"/>
      <sheetName val="Seafront TQ"/>
      <sheetName val="Torquay Seafront Chart"/>
      <sheetName val="Paignton Green Estimations"/>
      <sheetName val="Paignton Central (Old)"/>
      <sheetName val="Paignton Old"/>
      <sheetName val="Sheet10"/>
    </sheetNames>
    <sheetDataSet>
      <sheetData sheetId="0"/>
      <sheetData sheetId="1" refreshError="1"/>
      <sheetData sheetId="2" refreshError="1"/>
      <sheetData sheetId="3" refreshError="1"/>
      <sheetData sheetId="4">
        <row r="5">
          <cell r="X5">
            <v>5962</v>
          </cell>
        </row>
        <row r="6">
          <cell r="X6">
            <v>5677</v>
          </cell>
        </row>
        <row r="7">
          <cell r="X7">
            <v>5657</v>
          </cell>
        </row>
        <row r="8">
          <cell r="X8">
            <v>5370</v>
          </cell>
        </row>
        <row r="9">
          <cell r="X9">
            <v>7051</v>
          </cell>
        </row>
        <row r="10">
          <cell r="X10">
            <v>7965</v>
          </cell>
        </row>
        <row r="11">
          <cell r="X11">
            <v>6705</v>
          </cell>
        </row>
        <row r="12">
          <cell r="X12">
            <v>6550</v>
          </cell>
        </row>
        <row r="13">
          <cell r="X13">
            <v>6587</v>
          </cell>
        </row>
        <row r="14">
          <cell r="X14">
            <v>6138</v>
          </cell>
        </row>
        <row r="15">
          <cell r="X15">
            <v>7134</v>
          </cell>
        </row>
        <row r="16">
          <cell r="X16">
            <v>7358</v>
          </cell>
        </row>
        <row r="17">
          <cell r="X17">
            <v>7656</v>
          </cell>
        </row>
        <row r="18">
          <cell r="X18">
            <v>8930</v>
          </cell>
        </row>
        <row r="19">
          <cell r="X19">
            <v>8762</v>
          </cell>
        </row>
        <row r="20">
          <cell r="X20">
            <v>9181</v>
          </cell>
        </row>
        <row r="21">
          <cell r="X21">
            <v>8357</v>
          </cell>
        </row>
        <row r="22">
          <cell r="X22">
            <v>9238</v>
          </cell>
        </row>
        <row r="23">
          <cell r="X23">
            <v>7832</v>
          </cell>
        </row>
        <row r="24">
          <cell r="X24">
            <v>1228</v>
          </cell>
        </row>
      </sheetData>
      <sheetData sheetId="5" refreshError="1"/>
      <sheetData sheetId="6">
        <row r="5">
          <cell r="X5">
            <v>4567</v>
          </cell>
        </row>
        <row r="6">
          <cell r="X6">
            <v>4437</v>
          </cell>
        </row>
        <row r="7">
          <cell r="X7">
            <v>4044</v>
          </cell>
        </row>
        <row r="8">
          <cell r="X8">
            <v>3457</v>
          </cell>
        </row>
        <row r="9">
          <cell r="X9">
            <v>6545</v>
          </cell>
        </row>
        <row r="10">
          <cell r="X10">
            <v>7824</v>
          </cell>
        </row>
        <row r="11">
          <cell r="X11">
            <v>4719</v>
          </cell>
        </row>
        <row r="12">
          <cell r="X12">
            <v>5622</v>
          </cell>
        </row>
        <row r="13">
          <cell r="X13">
            <v>6342</v>
          </cell>
        </row>
        <row r="14">
          <cell r="X14">
            <v>5550</v>
          </cell>
        </row>
        <row r="15">
          <cell r="X15">
            <v>6921</v>
          </cell>
        </row>
        <row r="16">
          <cell r="X16">
            <v>7184</v>
          </cell>
        </row>
        <row r="17">
          <cell r="X17">
            <v>7517</v>
          </cell>
        </row>
        <row r="18">
          <cell r="X18">
            <v>9519</v>
          </cell>
        </row>
        <row r="19">
          <cell r="X19">
            <v>9338</v>
          </cell>
        </row>
        <row r="20">
          <cell r="X20">
            <v>10712</v>
          </cell>
        </row>
        <row r="21">
          <cell r="X21">
            <v>7825</v>
          </cell>
        </row>
        <row r="22">
          <cell r="X22">
            <v>10507</v>
          </cell>
        </row>
        <row r="23">
          <cell r="X23">
            <v>8472</v>
          </cell>
        </row>
        <row r="24">
          <cell r="X24">
            <v>2880</v>
          </cell>
        </row>
      </sheetData>
      <sheetData sheetId="7" refreshError="1"/>
      <sheetData sheetId="8">
        <row r="5">
          <cell r="X5">
            <v>1679</v>
          </cell>
        </row>
        <row r="6">
          <cell r="X6">
            <v>2202</v>
          </cell>
        </row>
        <row r="7">
          <cell r="X7">
            <v>1950</v>
          </cell>
        </row>
        <row r="8">
          <cell r="X8">
            <v>1478</v>
          </cell>
        </row>
        <row r="9">
          <cell r="X9">
            <v>3739</v>
          </cell>
        </row>
        <row r="10">
          <cell r="X10">
            <v>5518</v>
          </cell>
        </row>
        <row r="11">
          <cell r="X11">
            <v>2535</v>
          </cell>
        </row>
        <row r="12">
          <cell r="X12">
            <v>1453</v>
          </cell>
        </row>
        <row r="13">
          <cell r="X13">
            <v>1595</v>
          </cell>
        </row>
        <row r="14">
          <cell r="X14">
            <v>1013</v>
          </cell>
        </row>
        <row r="15">
          <cell r="X15">
            <v>3093</v>
          </cell>
        </row>
        <row r="16">
          <cell r="X16">
            <v>3955</v>
          </cell>
        </row>
        <row r="17">
          <cell r="X17">
            <v>5451</v>
          </cell>
        </row>
        <row r="18">
          <cell r="X18">
            <v>7138</v>
          </cell>
        </row>
        <row r="19">
          <cell r="X19">
            <v>6424</v>
          </cell>
        </row>
        <row r="20">
          <cell r="X20">
            <v>8702</v>
          </cell>
        </row>
        <row r="21">
          <cell r="X21">
            <v>6248</v>
          </cell>
        </row>
        <row r="22">
          <cell r="X22">
            <v>7820</v>
          </cell>
        </row>
        <row r="23">
          <cell r="X23">
            <v>5731</v>
          </cell>
        </row>
        <row r="24">
          <cell r="X24">
            <v>738</v>
          </cell>
        </row>
      </sheetData>
      <sheetData sheetId="9" refreshError="1"/>
      <sheetData sheetId="10">
        <row r="14">
          <cell r="X14">
            <v>781</v>
          </cell>
        </row>
        <row r="15">
          <cell r="X15">
            <v>3468</v>
          </cell>
        </row>
        <row r="16">
          <cell r="X16">
            <v>3795</v>
          </cell>
        </row>
        <row r="17">
          <cell r="X17">
            <v>5818</v>
          </cell>
        </row>
        <row r="18">
          <cell r="X18">
            <v>7320</v>
          </cell>
        </row>
        <row r="19">
          <cell r="X19">
            <v>7228</v>
          </cell>
        </row>
        <row r="20">
          <cell r="X20">
            <v>9461</v>
          </cell>
        </row>
        <row r="21">
          <cell r="X21">
            <v>5745</v>
          </cell>
        </row>
        <row r="22">
          <cell r="X22">
            <v>6234</v>
          </cell>
        </row>
        <row r="23">
          <cell r="X23">
            <v>4945</v>
          </cell>
        </row>
        <row r="24">
          <cell r="X24">
            <v>882</v>
          </cell>
        </row>
      </sheetData>
      <sheetData sheetId="11" refreshError="1"/>
      <sheetData sheetId="12">
        <row r="5">
          <cell r="X5">
            <v>13279</v>
          </cell>
        </row>
        <row r="6">
          <cell r="X6">
            <v>4361</v>
          </cell>
        </row>
        <row r="7">
          <cell r="X7">
            <v>3484</v>
          </cell>
        </row>
        <row r="8">
          <cell r="X8">
            <v>2677</v>
          </cell>
        </row>
        <row r="9">
          <cell r="X9">
            <v>6906</v>
          </cell>
        </row>
        <row r="10">
          <cell r="X10">
            <v>11330</v>
          </cell>
        </row>
        <row r="11">
          <cell r="X11">
            <v>12942</v>
          </cell>
        </row>
        <row r="12">
          <cell r="X12">
            <v>3606</v>
          </cell>
        </row>
        <row r="13">
          <cell r="X13">
            <v>5624</v>
          </cell>
        </row>
        <row r="14">
          <cell r="X14">
            <v>4163</v>
          </cell>
        </row>
        <row r="15">
          <cell r="X15">
            <v>5059</v>
          </cell>
        </row>
        <row r="16">
          <cell r="X16">
            <v>6629</v>
          </cell>
        </row>
        <row r="17">
          <cell r="X17">
            <v>12945</v>
          </cell>
        </row>
        <row r="18">
          <cell r="X18">
            <v>17007</v>
          </cell>
        </row>
        <row r="19">
          <cell r="X19">
            <v>8937</v>
          </cell>
        </row>
        <row r="20">
          <cell r="X20">
            <v>14032</v>
          </cell>
        </row>
        <row r="21">
          <cell r="X21">
            <v>10381</v>
          </cell>
        </row>
        <row r="22">
          <cell r="X22">
            <v>10247</v>
          </cell>
        </row>
        <row r="23">
          <cell r="X23">
            <v>7280</v>
          </cell>
        </row>
        <row r="24">
          <cell r="X24">
            <v>1319</v>
          </cell>
        </row>
      </sheetData>
      <sheetData sheetId="13" refreshError="1"/>
      <sheetData sheetId="14">
        <row r="5">
          <cell r="X5">
            <v>1902</v>
          </cell>
        </row>
        <row r="6">
          <cell r="X6">
            <v>2885</v>
          </cell>
        </row>
        <row r="7">
          <cell r="X7">
            <v>2634</v>
          </cell>
        </row>
        <row r="8">
          <cell r="X8">
            <v>1993</v>
          </cell>
        </row>
        <row r="9">
          <cell r="X9">
            <v>3533</v>
          </cell>
        </row>
        <row r="10">
          <cell r="X10">
            <v>4111</v>
          </cell>
        </row>
        <row r="11">
          <cell r="X11">
            <v>4866</v>
          </cell>
        </row>
        <row r="12">
          <cell r="X12">
            <v>2241</v>
          </cell>
        </row>
        <row r="13">
          <cell r="X13">
            <v>2683</v>
          </cell>
        </row>
        <row r="14">
          <cell r="X14">
            <v>2400</v>
          </cell>
        </row>
        <row r="15">
          <cell r="X15">
            <v>3283</v>
          </cell>
        </row>
        <row r="16">
          <cell r="X16">
            <v>3703</v>
          </cell>
        </row>
        <row r="17">
          <cell r="X17">
            <v>4429</v>
          </cell>
        </row>
        <row r="18">
          <cell r="X18">
            <v>4071</v>
          </cell>
        </row>
        <row r="19">
          <cell r="X19">
            <v>4259</v>
          </cell>
        </row>
        <row r="20">
          <cell r="X20">
            <v>5620</v>
          </cell>
        </row>
        <row r="21">
          <cell r="X21">
            <v>4085</v>
          </cell>
        </row>
        <row r="22">
          <cell r="X22">
            <v>4653</v>
          </cell>
        </row>
        <row r="23">
          <cell r="X23">
            <v>4101</v>
          </cell>
        </row>
        <row r="24">
          <cell r="X24">
            <v>16</v>
          </cell>
        </row>
      </sheetData>
      <sheetData sheetId="15" refreshError="1"/>
      <sheetData sheetId="16">
        <row r="5">
          <cell r="X5">
            <v>501</v>
          </cell>
        </row>
        <row r="6">
          <cell r="X6">
            <v>34</v>
          </cell>
        </row>
        <row r="7">
          <cell r="X7">
            <v>25</v>
          </cell>
        </row>
        <row r="8">
          <cell r="X8">
            <v>35</v>
          </cell>
        </row>
        <row r="9">
          <cell r="X9">
            <v>38</v>
          </cell>
        </row>
        <row r="10">
          <cell r="X10">
            <v>52</v>
          </cell>
        </row>
        <row r="11">
          <cell r="X11">
            <v>58</v>
          </cell>
        </row>
        <row r="12">
          <cell r="X12">
            <v>76</v>
          </cell>
        </row>
        <row r="13">
          <cell r="X13">
            <v>30</v>
          </cell>
        </row>
        <row r="14">
          <cell r="X14">
            <v>50</v>
          </cell>
        </row>
        <row r="15">
          <cell r="X15">
            <v>0</v>
          </cell>
        </row>
      </sheetData>
      <sheetData sheetId="17">
        <row r="15">
          <cell r="X15">
            <v>734</v>
          </cell>
        </row>
        <row r="16">
          <cell r="X16">
            <v>1463</v>
          </cell>
        </row>
        <row r="17">
          <cell r="X17">
            <v>2192</v>
          </cell>
        </row>
        <row r="18">
          <cell r="X18">
            <v>2690</v>
          </cell>
        </row>
        <row r="19">
          <cell r="X19">
            <v>2356</v>
          </cell>
        </row>
        <row r="20">
          <cell r="X20">
            <v>2740</v>
          </cell>
        </row>
        <row r="21">
          <cell r="X21">
            <v>4028</v>
          </cell>
        </row>
        <row r="22">
          <cell r="X22">
            <v>3074</v>
          </cell>
        </row>
        <row r="23">
          <cell r="X23">
            <v>3761</v>
          </cell>
        </row>
        <row r="24">
          <cell r="X24">
            <v>2952</v>
          </cell>
        </row>
        <row r="25">
          <cell r="X25">
            <v>582</v>
          </cell>
        </row>
      </sheetData>
      <sheetData sheetId="18" refreshError="1"/>
      <sheetData sheetId="19">
        <row r="6">
          <cell r="X6">
            <v>1303</v>
          </cell>
        </row>
        <row r="7">
          <cell r="X7">
            <v>1932</v>
          </cell>
        </row>
        <row r="8">
          <cell r="X8">
            <v>1946</v>
          </cell>
        </row>
        <row r="9">
          <cell r="X9">
            <v>1977</v>
          </cell>
        </row>
        <row r="10">
          <cell r="X10">
            <v>1863</v>
          </cell>
        </row>
        <row r="11">
          <cell r="X11">
            <v>1683</v>
          </cell>
        </row>
        <row r="12">
          <cell r="X12">
            <v>1732</v>
          </cell>
        </row>
        <row r="13">
          <cell r="X13">
            <v>2078</v>
          </cell>
        </row>
        <row r="14">
          <cell r="X14">
            <v>1786</v>
          </cell>
        </row>
        <row r="15">
          <cell r="X15">
            <v>1838</v>
          </cell>
        </row>
        <row r="16">
          <cell r="X16">
            <v>1829</v>
          </cell>
        </row>
        <row r="17">
          <cell r="X17">
            <v>1863</v>
          </cell>
        </row>
        <row r="18">
          <cell r="X18">
            <v>1759</v>
          </cell>
        </row>
        <row r="19">
          <cell r="X19">
            <v>1784</v>
          </cell>
        </row>
        <row r="20">
          <cell r="X20">
            <v>1869</v>
          </cell>
        </row>
        <row r="21">
          <cell r="X21">
            <v>1840</v>
          </cell>
        </row>
        <row r="22">
          <cell r="X22">
            <v>1823</v>
          </cell>
        </row>
        <row r="23">
          <cell r="X23">
            <v>1783</v>
          </cell>
        </row>
        <row r="24">
          <cell r="X24">
            <v>1607</v>
          </cell>
        </row>
        <row r="25">
          <cell r="X25">
            <v>635</v>
          </cell>
        </row>
      </sheetData>
      <sheetData sheetId="20" refreshError="1"/>
      <sheetData sheetId="21">
        <row r="14">
          <cell r="AE14">
            <v>1824</v>
          </cell>
        </row>
        <row r="15">
          <cell r="AE15">
            <v>3243</v>
          </cell>
        </row>
        <row r="16">
          <cell r="AE16">
            <v>2884</v>
          </cell>
        </row>
        <row r="17">
          <cell r="AE17">
            <v>2375</v>
          </cell>
        </row>
        <row r="18">
          <cell r="AE18">
            <v>5226</v>
          </cell>
        </row>
        <row r="19">
          <cell r="AE19">
            <v>9988</v>
          </cell>
        </row>
        <row r="20">
          <cell r="AE20">
            <v>7111</v>
          </cell>
        </row>
        <row r="21">
          <cell r="AE21">
            <v>5630</v>
          </cell>
        </row>
        <row r="22">
          <cell r="AE22">
            <v>6655</v>
          </cell>
        </row>
        <row r="23">
          <cell r="AE23">
            <v>5733</v>
          </cell>
        </row>
        <row r="24">
          <cell r="AE24">
            <v>6860</v>
          </cell>
        </row>
        <row r="25">
          <cell r="AE25">
            <v>8355</v>
          </cell>
        </row>
        <row r="26">
          <cell r="AE26">
            <v>10045</v>
          </cell>
        </row>
        <row r="27">
          <cell r="AE27">
            <v>12629</v>
          </cell>
        </row>
        <row r="28">
          <cell r="AE28">
            <v>15655</v>
          </cell>
        </row>
        <row r="29">
          <cell r="AE29">
            <v>18049</v>
          </cell>
        </row>
        <row r="30">
          <cell r="AE30">
            <v>12045</v>
          </cell>
        </row>
        <row r="31">
          <cell r="AE31">
            <v>14773</v>
          </cell>
        </row>
        <row r="32">
          <cell r="AE32">
            <v>11458</v>
          </cell>
        </row>
        <row r="33">
          <cell r="AE33">
            <v>1221</v>
          </cell>
        </row>
      </sheetData>
      <sheetData sheetId="22" refreshError="1"/>
      <sheetData sheetId="23"/>
      <sheetData sheetId="24"/>
      <sheetData sheetId="25"/>
      <sheetData sheetId="26">
        <row r="10">
          <cell r="X10">
            <v>1298</v>
          </cell>
        </row>
        <row r="11">
          <cell r="X11">
            <v>1507</v>
          </cell>
        </row>
        <row r="12">
          <cell r="X12">
            <v>1561</v>
          </cell>
        </row>
        <row r="13">
          <cell r="X13">
            <v>945</v>
          </cell>
        </row>
        <row r="14">
          <cell r="X14">
            <v>1871</v>
          </cell>
        </row>
        <row r="15">
          <cell r="X15">
            <v>3062</v>
          </cell>
        </row>
        <row r="16">
          <cell r="X16">
            <v>1828</v>
          </cell>
        </row>
        <row r="17">
          <cell r="X17">
            <v>1635</v>
          </cell>
        </row>
        <row r="18">
          <cell r="X18">
            <v>2960</v>
          </cell>
        </row>
        <row r="19">
          <cell r="X19">
            <v>2234</v>
          </cell>
        </row>
        <row r="20">
          <cell r="X20">
            <v>2344</v>
          </cell>
        </row>
        <row r="21">
          <cell r="X21">
            <v>3526</v>
          </cell>
        </row>
        <row r="22">
          <cell r="X22">
            <v>2733</v>
          </cell>
        </row>
        <row r="23">
          <cell r="X23">
            <v>2811</v>
          </cell>
        </row>
        <row r="24">
          <cell r="X24">
            <v>6049</v>
          </cell>
        </row>
        <row r="25">
          <cell r="X25">
            <v>6866</v>
          </cell>
        </row>
        <row r="26">
          <cell r="X26">
            <v>5220</v>
          </cell>
        </row>
        <row r="27">
          <cell r="X27">
            <v>6145</v>
          </cell>
        </row>
        <row r="28">
          <cell r="X28">
            <v>3427</v>
          </cell>
        </row>
        <row r="29">
          <cell r="X29">
            <v>492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0"/>
  <sheetViews>
    <sheetView tabSelected="1" workbookViewId="0">
      <selection activeCell="B32" sqref="B32"/>
    </sheetView>
  </sheetViews>
  <sheetFormatPr defaultRowHeight="15"/>
  <cols>
    <col min="1" max="1" width="12.125" bestFit="1" customWidth="1"/>
    <col min="2" max="2" width="14.375" bestFit="1" customWidth="1"/>
    <col min="3" max="3" width="16" bestFit="1" customWidth="1"/>
    <col min="5" max="5" width="15.125" customWidth="1"/>
    <col min="6" max="6" width="31.125" bestFit="1" customWidth="1"/>
    <col min="7" max="7" width="12.125" customWidth="1"/>
    <col min="8" max="8" width="18.375" customWidth="1"/>
    <col min="9" max="9" width="30.375" customWidth="1"/>
    <col min="10" max="10" width="30.375" bestFit="1" customWidth="1"/>
  </cols>
  <sheetData>
    <row r="1" spans="1:10">
      <c r="D1" s="112" t="s">
        <v>43</v>
      </c>
      <c r="E1" s="112"/>
      <c r="F1" s="112"/>
      <c r="G1" s="1"/>
      <c r="I1" s="112" t="s">
        <v>2</v>
      </c>
      <c r="J1" s="112"/>
    </row>
    <row r="2" spans="1:10" ht="36" customHeight="1">
      <c r="A2" t="s">
        <v>148</v>
      </c>
      <c r="B2" t="s">
        <v>149</v>
      </c>
      <c r="C2" t="s">
        <v>150</v>
      </c>
      <c r="E2" s="4" t="s">
        <v>0</v>
      </c>
      <c r="F2" s="4" t="s">
        <v>1</v>
      </c>
      <c r="G2" s="2"/>
      <c r="H2" s="4" t="s">
        <v>47</v>
      </c>
      <c r="I2" s="4" t="s">
        <v>3</v>
      </c>
      <c r="J2" s="4" t="s">
        <v>4</v>
      </c>
    </row>
    <row r="3" spans="1:10">
      <c r="A3" s="91" t="s">
        <v>153</v>
      </c>
      <c r="B3" s="92" t="s">
        <v>154</v>
      </c>
      <c r="C3" t="s">
        <v>196</v>
      </c>
      <c r="D3" s="3">
        <v>23</v>
      </c>
      <c r="E3" s="3" t="s">
        <v>6</v>
      </c>
      <c r="F3" t="s">
        <v>29</v>
      </c>
      <c r="G3" t="s">
        <v>46</v>
      </c>
      <c r="H3" t="s">
        <v>38</v>
      </c>
      <c r="I3" t="s">
        <v>39</v>
      </c>
      <c r="J3" t="s">
        <v>42</v>
      </c>
    </row>
    <row r="4" spans="1:10">
      <c r="A4" s="91" t="s">
        <v>187</v>
      </c>
      <c r="B4" s="92" t="s">
        <v>188</v>
      </c>
      <c r="C4" t="s">
        <v>196</v>
      </c>
      <c r="D4" s="3">
        <v>1</v>
      </c>
      <c r="E4" s="3" t="s">
        <v>5</v>
      </c>
      <c r="F4" t="s">
        <v>7</v>
      </c>
      <c r="G4" t="s">
        <v>44</v>
      </c>
      <c r="H4" t="s">
        <v>37</v>
      </c>
      <c r="I4" t="s">
        <v>39</v>
      </c>
      <c r="J4" t="s">
        <v>41</v>
      </c>
    </row>
    <row r="5" spans="1:10">
      <c r="A5" s="91" t="s">
        <v>163</v>
      </c>
      <c r="B5" s="92" t="s">
        <v>156</v>
      </c>
      <c r="C5" t="s">
        <v>196</v>
      </c>
      <c r="D5" s="3">
        <v>15</v>
      </c>
      <c r="E5" s="3" t="s">
        <v>5</v>
      </c>
      <c r="F5" t="s">
        <v>21</v>
      </c>
      <c r="G5" t="s">
        <v>46</v>
      </c>
      <c r="H5" t="s">
        <v>37</v>
      </c>
      <c r="I5" t="s">
        <v>39</v>
      </c>
      <c r="J5" t="s">
        <v>41</v>
      </c>
    </row>
    <row r="6" spans="1:10">
      <c r="A6" s="91" t="s">
        <v>189</v>
      </c>
      <c r="B6" s="92" t="s">
        <v>190</v>
      </c>
      <c r="C6" t="s">
        <v>196</v>
      </c>
      <c r="D6" s="3">
        <v>2</v>
      </c>
      <c r="E6" s="3" t="s">
        <v>5</v>
      </c>
      <c r="F6" t="s">
        <v>8</v>
      </c>
      <c r="G6" t="s">
        <v>44</v>
      </c>
      <c r="H6" t="s">
        <v>37</v>
      </c>
      <c r="I6" t="s">
        <v>39</v>
      </c>
      <c r="J6" t="s">
        <v>41</v>
      </c>
    </row>
    <row r="7" spans="1:10">
      <c r="A7" s="91" t="s">
        <v>191</v>
      </c>
      <c r="B7" s="92" t="s">
        <v>190</v>
      </c>
      <c r="C7" t="s">
        <v>196</v>
      </c>
      <c r="D7" s="3">
        <v>3</v>
      </c>
      <c r="E7" s="3" t="s">
        <v>5</v>
      </c>
      <c r="F7" t="s">
        <v>9</v>
      </c>
      <c r="G7" t="s">
        <v>44</v>
      </c>
      <c r="H7" t="s">
        <v>37</v>
      </c>
      <c r="I7" t="s">
        <v>39</v>
      </c>
      <c r="J7" t="s">
        <v>41</v>
      </c>
    </row>
    <row r="8" spans="1:10">
      <c r="A8" s="91" t="s">
        <v>168</v>
      </c>
      <c r="B8" s="92" t="s">
        <v>169</v>
      </c>
      <c r="C8" t="s">
        <v>196</v>
      </c>
      <c r="D8" s="3">
        <v>6</v>
      </c>
      <c r="E8" s="3" t="s">
        <v>5</v>
      </c>
      <c r="F8" t="s">
        <v>12</v>
      </c>
      <c r="G8" t="s">
        <v>45</v>
      </c>
      <c r="H8" t="s">
        <v>37</v>
      </c>
      <c r="I8" t="s">
        <v>39</v>
      </c>
      <c r="J8" t="s">
        <v>41</v>
      </c>
    </row>
    <row r="9" spans="1:10">
      <c r="A9" s="91" t="s">
        <v>155</v>
      </c>
      <c r="B9" s="92" t="s">
        <v>156</v>
      </c>
      <c r="C9" t="s">
        <v>196</v>
      </c>
      <c r="D9" s="3">
        <v>24</v>
      </c>
      <c r="E9" s="3" t="s">
        <v>5</v>
      </c>
      <c r="F9" t="s">
        <v>30</v>
      </c>
      <c r="G9" t="s">
        <v>46</v>
      </c>
      <c r="H9" t="s">
        <v>38</v>
      </c>
      <c r="I9" t="s">
        <v>39</v>
      </c>
      <c r="J9" t="s">
        <v>42</v>
      </c>
    </row>
    <row r="10" spans="1:10">
      <c r="A10" s="91" t="s">
        <v>170</v>
      </c>
      <c r="B10" s="92" t="s">
        <v>171</v>
      </c>
      <c r="C10" t="s">
        <v>196</v>
      </c>
      <c r="D10" s="3">
        <v>14</v>
      </c>
      <c r="E10" s="3" t="s">
        <v>6</v>
      </c>
      <c r="F10" t="s">
        <v>20</v>
      </c>
      <c r="G10" t="s">
        <v>45</v>
      </c>
      <c r="H10" t="s">
        <v>38</v>
      </c>
      <c r="I10" t="s">
        <v>39</v>
      </c>
      <c r="J10" t="s">
        <v>42</v>
      </c>
    </row>
    <row r="11" spans="1:10">
      <c r="A11" s="91" t="s">
        <v>192</v>
      </c>
      <c r="B11" s="91" t="s">
        <v>192</v>
      </c>
      <c r="C11" t="s">
        <v>196</v>
      </c>
      <c r="D11" s="3">
        <v>4</v>
      </c>
      <c r="E11" s="3" t="s">
        <v>6</v>
      </c>
      <c r="F11" t="s">
        <v>10</v>
      </c>
      <c r="G11" t="s">
        <v>44</v>
      </c>
      <c r="H11" t="s">
        <v>38</v>
      </c>
      <c r="I11" t="s">
        <v>39</v>
      </c>
      <c r="J11" t="s">
        <v>42</v>
      </c>
    </row>
    <row r="12" spans="1:10">
      <c r="A12" s="91" t="s">
        <v>172</v>
      </c>
      <c r="B12" s="92" t="s">
        <v>173</v>
      </c>
      <c r="C12" t="s">
        <v>196</v>
      </c>
      <c r="D12" s="3">
        <v>29</v>
      </c>
      <c r="E12" s="3" t="s">
        <v>5</v>
      </c>
      <c r="F12" t="s">
        <v>35</v>
      </c>
      <c r="G12" t="s">
        <v>45</v>
      </c>
      <c r="H12" t="s">
        <v>37</v>
      </c>
      <c r="I12" t="s">
        <v>39</v>
      </c>
      <c r="J12" t="s">
        <v>41</v>
      </c>
    </row>
    <row r="13" spans="1:10">
      <c r="A13" s="91" t="s">
        <v>174</v>
      </c>
      <c r="B13" s="92" t="s">
        <v>173</v>
      </c>
      <c r="C13" t="s">
        <v>196</v>
      </c>
      <c r="D13" s="3">
        <v>28</v>
      </c>
      <c r="E13" s="3" t="s">
        <v>6</v>
      </c>
      <c r="F13" t="s">
        <v>34</v>
      </c>
      <c r="G13" t="s">
        <v>45</v>
      </c>
      <c r="H13" t="s">
        <v>38</v>
      </c>
      <c r="I13" t="s">
        <v>39</v>
      </c>
      <c r="J13" t="s">
        <v>42</v>
      </c>
    </row>
    <row r="14" spans="1:10">
      <c r="A14" s="91" t="s">
        <v>175</v>
      </c>
      <c r="B14" s="92" t="s">
        <v>173</v>
      </c>
      <c r="C14" t="s">
        <v>196</v>
      </c>
      <c r="D14" s="3">
        <v>30</v>
      </c>
      <c r="E14" s="3" t="s">
        <v>6</v>
      </c>
      <c r="F14" t="s">
        <v>36</v>
      </c>
      <c r="G14" t="s">
        <v>45</v>
      </c>
      <c r="H14" t="s">
        <v>38</v>
      </c>
      <c r="I14" t="s">
        <v>39</v>
      </c>
      <c r="J14" t="s">
        <v>42</v>
      </c>
    </row>
    <row r="15" spans="1:10">
      <c r="A15" s="91" t="s">
        <v>157</v>
      </c>
      <c r="B15" s="92" t="s">
        <v>158</v>
      </c>
      <c r="C15" t="s">
        <v>196</v>
      </c>
      <c r="D15" s="3">
        <v>17</v>
      </c>
      <c r="E15" s="3" t="s">
        <v>5</v>
      </c>
      <c r="F15" t="s">
        <v>23</v>
      </c>
      <c r="G15" t="s">
        <v>46</v>
      </c>
      <c r="H15" t="s">
        <v>37</v>
      </c>
      <c r="I15" t="s">
        <v>39</v>
      </c>
      <c r="J15" t="s">
        <v>41</v>
      </c>
    </row>
    <row r="16" spans="1:10">
      <c r="A16" s="91" t="s">
        <v>159</v>
      </c>
      <c r="B16" s="92" t="s">
        <v>156</v>
      </c>
      <c r="C16" t="s">
        <v>196</v>
      </c>
      <c r="D16" s="3">
        <v>25</v>
      </c>
      <c r="E16" s="3" t="s">
        <v>5</v>
      </c>
      <c r="F16" t="s">
        <v>31</v>
      </c>
      <c r="G16" t="s">
        <v>46</v>
      </c>
      <c r="H16" t="s">
        <v>38</v>
      </c>
      <c r="I16" t="s">
        <v>39</v>
      </c>
      <c r="J16" t="s">
        <v>42</v>
      </c>
    </row>
    <row r="17" spans="1:10">
      <c r="A17" s="91" t="s">
        <v>160</v>
      </c>
      <c r="B17" s="92" t="s">
        <v>161</v>
      </c>
      <c r="C17" t="s">
        <v>196</v>
      </c>
      <c r="D17" s="3">
        <v>26</v>
      </c>
      <c r="E17" s="3" t="s">
        <v>5</v>
      </c>
      <c r="F17" t="s">
        <v>32</v>
      </c>
      <c r="G17" t="s">
        <v>46</v>
      </c>
      <c r="H17" t="s">
        <v>38</v>
      </c>
      <c r="I17" t="s">
        <v>39</v>
      </c>
      <c r="J17" t="s">
        <v>42</v>
      </c>
    </row>
    <row r="18" spans="1:10">
      <c r="A18" s="91" t="s">
        <v>162</v>
      </c>
      <c r="B18" s="93" t="s">
        <v>194</v>
      </c>
      <c r="C18" s="93" t="s">
        <v>195</v>
      </c>
      <c r="D18" s="3">
        <v>18</v>
      </c>
      <c r="E18" s="3" t="s">
        <v>5</v>
      </c>
      <c r="F18" t="s">
        <v>24</v>
      </c>
      <c r="G18" t="s">
        <v>46</v>
      </c>
      <c r="H18" t="s">
        <v>37</v>
      </c>
      <c r="I18" t="s">
        <v>39</v>
      </c>
      <c r="J18" t="s">
        <v>41</v>
      </c>
    </row>
    <row r="19" spans="1:10">
      <c r="A19" s="91" t="s">
        <v>178</v>
      </c>
      <c r="B19" s="92" t="s">
        <v>171</v>
      </c>
      <c r="C19" t="s">
        <v>196</v>
      </c>
      <c r="D19" s="3">
        <v>8</v>
      </c>
      <c r="E19" s="3" t="s">
        <v>5</v>
      </c>
      <c r="F19" t="s">
        <v>14</v>
      </c>
      <c r="G19" t="s">
        <v>45</v>
      </c>
      <c r="H19" t="s">
        <v>37</v>
      </c>
      <c r="I19" t="s">
        <v>39</v>
      </c>
      <c r="J19" t="s">
        <v>41</v>
      </c>
    </row>
    <row r="20" spans="1:10">
      <c r="A20" s="91" t="s">
        <v>179</v>
      </c>
      <c r="B20" s="92" t="s">
        <v>171</v>
      </c>
      <c r="C20" t="s">
        <v>196</v>
      </c>
      <c r="D20" s="3">
        <v>9</v>
      </c>
      <c r="E20" s="3" t="s">
        <v>6</v>
      </c>
      <c r="F20" t="s">
        <v>15</v>
      </c>
      <c r="G20" t="s">
        <v>45</v>
      </c>
      <c r="H20" t="s">
        <v>37</v>
      </c>
      <c r="I20" t="s">
        <v>39</v>
      </c>
      <c r="J20" t="s">
        <v>41</v>
      </c>
    </row>
    <row r="21" spans="1:10">
      <c r="A21" s="91" t="s">
        <v>176</v>
      </c>
      <c r="B21" s="92" t="s">
        <v>177</v>
      </c>
      <c r="C21" t="s">
        <v>196</v>
      </c>
      <c r="D21" s="3">
        <v>7</v>
      </c>
      <c r="E21" s="3" t="s">
        <v>5</v>
      </c>
      <c r="F21" t="s">
        <v>13</v>
      </c>
      <c r="G21" t="s">
        <v>45</v>
      </c>
      <c r="H21" t="s">
        <v>37</v>
      </c>
      <c r="I21" t="s">
        <v>40</v>
      </c>
      <c r="J21" t="s">
        <v>41</v>
      </c>
    </row>
    <row r="22" spans="1:10">
      <c r="A22" s="91" t="s">
        <v>180</v>
      </c>
      <c r="B22" s="92" t="s">
        <v>181</v>
      </c>
      <c r="C22" t="s">
        <v>196</v>
      </c>
      <c r="D22" s="3">
        <v>10</v>
      </c>
      <c r="E22" s="3" t="s">
        <v>5</v>
      </c>
      <c r="F22" t="s">
        <v>16</v>
      </c>
      <c r="G22" t="s">
        <v>45</v>
      </c>
      <c r="H22" t="s">
        <v>37</v>
      </c>
      <c r="I22" t="s">
        <v>39</v>
      </c>
      <c r="J22" t="s">
        <v>41</v>
      </c>
    </row>
    <row r="23" spans="1:10">
      <c r="A23" s="94" t="s">
        <v>185</v>
      </c>
      <c r="C23" s="93" t="s">
        <v>186</v>
      </c>
      <c r="D23" s="3">
        <v>11</v>
      </c>
      <c r="E23" s="3" t="s">
        <v>5</v>
      </c>
      <c r="F23" t="s">
        <v>17</v>
      </c>
      <c r="G23" t="s">
        <v>45</v>
      </c>
      <c r="H23" t="s">
        <v>37</v>
      </c>
      <c r="I23" t="s">
        <v>39</v>
      </c>
      <c r="J23" t="s">
        <v>41</v>
      </c>
    </row>
    <row r="24" spans="1:10">
      <c r="A24" s="91" t="s">
        <v>182</v>
      </c>
      <c r="B24" s="92" t="s">
        <v>183</v>
      </c>
      <c r="C24" t="s">
        <v>196</v>
      </c>
      <c r="D24" s="3">
        <v>12</v>
      </c>
      <c r="E24" s="3" t="s">
        <v>5</v>
      </c>
      <c r="F24" t="s">
        <v>18</v>
      </c>
      <c r="G24" t="s">
        <v>45</v>
      </c>
      <c r="H24" t="s">
        <v>37</v>
      </c>
      <c r="I24" t="s">
        <v>39</v>
      </c>
      <c r="J24" t="s">
        <v>41</v>
      </c>
    </row>
    <row r="25" spans="1:10">
      <c r="A25" s="91" t="s">
        <v>184</v>
      </c>
      <c r="B25" s="92" t="s">
        <v>183</v>
      </c>
      <c r="C25" t="s">
        <v>196</v>
      </c>
      <c r="D25" s="3">
        <v>13</v>
      </c>
      <c r="E25" s="3" t="s">
        <v>6</v>
      </c>
      <c r="F25" t="s">
        <v>19</v>
      </c>
      <c r="G25" t="s">
        <v>45</v>
      </c>
      <c r="H25" t="s">
        <v>38</v>
      </c>
      <c r="I25" t="s">
        <v>39</v>
      </c>
      <c r="J25" t="s">
        <v>42</v>
      </c>
    </row>
    <row r="26" spans="1:10">
      <c r="A26" s="91" t="s">
        <v>197</v>
      </c>
      <c r="B26" s="92" t="s">
        <v>156</v>
      </c>
      <c r="C26" t="s">
        <v>196</v>
      </c>
      <c r="D26" s="3">
        <v>19</v>
      </c>
      <c r="E26" s="3" t="s">
        <v>5</v>
      </c>
      <c r="F26" t="s">
        <v>25</v>
      </c>
      <c r="G26" t="s">
        <v>46</v>
      </c>
      <c r="H26" t="s">
        <v>37</v>
      </c>
      <c r="I26" t="s">
        <v>39</v>
      </c>
      <c r="J26" t="s">
        <v>41</v>
      </c>
    </row>
    <row r="27" spans="1:10">
      <c r="A27" s="91" t="s">
        <v>193</v>
      </c>
      <c r="B27" s="92" t="s">
        <v>190</v>
      </c>
      <c r="C27" t="s">
        <v>196</v>
      </c>
      <c r="D27" s="3">
        <v>5</v>
      </c>
      <c r="E27" s="3" t="s">
        <v>5</v>
      </c>
      <c r="F27" t="s">
        <v>11</v>
      </c>
      <c r="G27" t="s">
        <v>44</v>
      </c>
      <c r="H27" t="s">
        <v>38</v>
      </c>
      <c r="I27" t="s">
        <v>39</v>
      </c>
      <c r="J27" t="s">
        <v>42</v>
      </c>
    </row>
    <row r="28" spans="1:10">
      <c r="A28" s="91" t="s">
        <v>164</v>
      </c>
      <c r="B28" s="92" t="s">
        <v>165</v>
      </c>
      <c r="C28" t="s">
        <v>196</v>
      </c>
      <c r="D28" s="3">
        <v>20</v>
      </c>
      <c r="E28" s="3" t="s">
        <v>5</v>
      </c>
      <c r="F28" t="s">
        <v>26</v>
      </c>
      <c r="G28" t="s">
        <v>46</v>
      </c>
      <c r="H28" t="s">
        <v>37</v>
      </c>
      <c r="I28" t="s">
        <v>39</v>
      </c>
      <c r="J28" t="s">
        <v>41</v>
      </c>
    </row>
    <row r="29" spans="1:10">
      <c r="A29" s="91" t="s">
        <v>151</v>
      </c>
      <c r="B29" s="92" t="s">
        <v>152</v>
      </c>
      <c r="C29" t="s">
        <v>196</v>
      </c>
      <c r="D29" s="3">
        <v>22</v>
      </c>
      <c r="E29" s="3" t="s">
        <v>5</v>
      </c>
      <c r="F29" t="s">
        <v>28</v>
      </c>
      <c r="G29" t="s">
        <v>46</v>
      </c>
      <c r="H29" t="s">
        <v>38</v>
      </c>
      <c r="I29" t="s">
        <v>39</v>
      </c>
      <c r="J29" t="s">
        <v>42</v>
      </c>
    </row>
    <row r="30" spans="1:10">
      <c r="A30" s="91" t="s">
        <v>166</v>
      </c>
      <c r="B30" s="92" t="s">
        <v>167</v>
      </c>
      <c r="C30" t="s">
        <v>196</v>
      </c>
      <c r="D30" s="95">
        <v>27</v>
      </c>
      <c r="E30" s="95" t="s">
        <v>6</v>
      </c>
      <c r="F30" t="s">
        <v>33</v>
      </c>
      <c r="G30" t="s">
        <v>46</v>
      </c>
      <c r="H30" t="s">
        <v>38</v>
      </c>
      <c r="I30" t="s">
        <v>39</v>
      </c>
      <c r="J30" t="s">
        <v>42</v>
      </c>
    </row>
  </sheetData>
  <autoFilter ref="A2:J2">
    <sortState ref="A3:J33">
      <sortCondition ref="F2"/>
    </sortState>
  </autoFilter>
  <mergeCells count="2">
    <mergeCell ref="D1:F1"/>
    <mergeCell ref="I1:J1"/>
  </mergeCells>
  <pageMargins left="0.70866141732283472" right="0.70866141732283472" top="0.74803149606299213" bottom="0.74803149606299213" header="0.31496062992125984" footer="0.31496062992125984"/>
  <pageSetup paperSize="8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5"/>
    <pageSetUpPr fitToPage="1"/>
  </sheetPr>
  <dimension ref="A1:Q95"/>
  <sheetViews>
    <sheetView tabSelected="1" zoomScale="70" zoomScaleNormal="70" workbookViewId="0">
      <pane xSplit="1" topLeftCell="J1" activePane="topRight" state="frozen"/>
      <selection activeCell="B32" sqref="B32"/>
      <selection pane="topRight" activeCell="B32" sqref="B32"/>
    </sheetView>
  </sheetViews>
  <sheetFormatPr defaultRowHeight="15"/>
  <cols>
    <col min="1" max="1" width="26" bestFit="1" customWidth="1"/>
    <col min="2" max="3" width="26" customWidth="1"/>
    <col min="4" max="4" width="28.125" customWidth="1"/>
    <col min="5" max="5" width="12" bestFit="1" customWidth="1"/>
    <col min="6" max="6" width="9.125" hidden="1" customWidth="1"/>
    <col min="7" max="7" width="22.625" hidden="1" customWidth="1"/>
    <col min="8" max="8" width="22.625" bestFit="1" customWidth="1"/>
    <col min="9" max="9" width="33.125" style="15" customWidth="1"/>
    <col min="10" max="10" width="31.125" style="18" bestFit="1" customWidth="1"/>
    <col min="11" max="12" width="31.125" style="18" customWidth="1"/>
    <col min="13" max="13" width="33.375" style="18" customWidth="1"/>
    <col min="14" max="14" width="42.375" style="18" bestFit="1" customWidth="1"/>
    <col min="15" max="15" width="46.375" customWidth="1"/>
    <col min="16" max="16" width="20" bestFit="1" customWidth="1"/>
    <col min="17" max="17" width="17" bestFit="1" customWidth="1"/>
  </cols>
  <sheetData>
    <row r="1" spans="1:17" ht="15.75" thickBot="1">
      <c r="A1" s="243" t="s">
        <v>114</v>
      </c>
      <c r="B1" s="244"/>
      <c r="C1" s="244"/>
      <c r="D1" s="244"/>
      <c r="E1" s="244"/>
      <c r="F1" s="244"/>
      <c r="G1" s="244"/>
      <c r="H1" s="245"/>
      <c r="I1" s="246" t="s">
        <v>113</v>
      </c>
      <c r="J1" s="247"/>
      <c r="K1" s="247"/>
      <c r="L1" s="247"/>
      <c r="M1" s="247"/>
      <c r="N1" s="247"/>
      <c r="O1" s="247"/>
      <c r="P1" s="247"/>
      <c r="Q1" s="248"/>
    </row>
    <row r="2" spans="1:17" ht="15.75" thickBot="1">
      <c r="A2" s="85"/>
      <c r="B2" s="86"/>
      <c r="C2" s="86"/>
      <c r="D2" s="86"/>
      <c r="E2" s="86"/>
      <c r="F2" s="86"/>
      <c r="G2" s="86"/>
      <c r="H2" s="87"/>
      <c r="I2" s="88" t="s">
        <v>131</v>
      </c>
      <c r="J2" s="52" t="s">
        <v>132</v>
      </c>
      <c r="K2" s="52" t="s">
        <v>133</v>
      </c>
      <c r="L2" s="247" t="s">
        <v>119</v>
      </c>
      <c r="M2" s="247"/>
      <c r="N2" s="52" t="s">
        <v>146</v>
      </c>
      <c r="O2" s="52" t="s">
        <v>137</v>
      </c>
      <c r="P2" s="52" t="s">
        <v>138</v>
      </c>
      <c r="Q2" s="53" t="s">
        <v>139</v>
      </c>
    </row>
    <row r="3" spans="1:17" ht="144" customHeight="1" thickBot="1">
      <c r="A3" s="45" t="s">
        <v>53</v>
      </c>
      <c r="B3" s="46" t="s">
        <v>96</v>
      </c>
      <c r="C3" s="46" t="s">
        <v>103</v>
      </c>
      <c r="D3" s="46" t="s">
        <v>95</v>
      </c>
      <c r="E3" s="46" t="s">
        <v>91</v>
      </c>
      <c r="F3" s="46"/>
      <c r="G3" s="46" t="s">
        <v>92</v>
      </c>
      <c r="H3" s="47" t="s">
        <v>102</v>
      </c>
      <c r="I3" s="59" t="s">
        <v>140</v>
      </c>
      <c r="J3" s="55" t="s">
        <v>145</v>
      </c>
      <c r="K3" s="55" t="s">
        <v>141</v>
      </c>
      <c r="L3" s="146" t="s">
        <v>134</v>
      </c>
      <c r="M3" s="147"/>
      <c r="N3" s="55" t="s">
        <v>142</v>
      </c>
      <c r="O3" s="55" t="s">
        <v>147</v>
      </c>
      <c r="P3" s="55" t="s">
        <v>135</v>
      </c>
      <c r="Q3" s="89" t="s">
        <v>136</v>
      </c>
    </row>
    <row r="4" spans="1:17" ht="15" customHeight="1" thickTop="1" thickBot="1">
      <c r="A4" s="235" t="s">
        <v>94</v>
      </c>
      <c r="B4" s="211" t="s">
        <v>44</v>
      </c>
      <c r="C4" s="219" t="s">
        <v>38</v>
      </c>
      <c r="D4" s="40" t="s">
        <v>8</v>
      </c>
      <c r="E4" s="22">
        <v>475.69607500000001</v>
      </c>
      <c r="F4" s="41">
        <f>E4/48</f>
        <v>9.9103348958333335</v>
      </c>
      <c r="G4" s="42">
        <f t="shared" ref="G4:G33" si="0">F4/24</f>
        <v>0.41293062065972225</v>
      </c>
      <c r="H4" s="43">
        <f>G4/60</f>
        <v>6.882177010995371E-3</v>
      </c>
      <c r="I4" s="183" t="s">
        <v>99</v>
      </c>
      <c r="J4" s="201" t="s">
        <v>104</v>
      </c>
      <c r="K4" s="201" t="s">
        <v>104</v>
      </c>
      <c r="L4" s="160">
        <v>0.1</v>
      </c>
      <c r="M4" s="160" t="s">
        <v>100</v>
      </c>
      <c r="N4" s="249" t="s">
        <v>104</v>
      </c>
      <c r="O4" s="143">
        <f>I6+(I6*L4)</f>
        <v>41452.210902954204</v>
      </c>
      <c r="P4" s="143">
        <f>O4*0.8</f>
        <v>33161.768722363362</v>
      </c>
      <c r="Q4" s="138">
        <f>P4*0.2</f>
        <v>6632.3537444726726</v>
      </c>
    </row>
    <row r="5" spans="1:17" ht="16.5" thickTop="1" thickBot="1">
      <c r="A5" s="236"/>
      <c r="B5" s="212"/>
      <c r="C5" s="220"/>
      <c r="D5" s="16" t="s">
        <v>9</v>
      </c>
      <c r="E5" s="20">
        <v>1039.175497</v>
      </c>
      <c r="F5" s="28">
        <f t="shared" ref="F5:F66" si="1">E5/48</f>
        <v>21.649489520833331</v>
      </c>
      <c r="G5" s="29">
        <f t="shared" si="0"/>
        <v>0.9020620633680555</v>
      </c>
      <c r="H5" s="24">
        <f t="shared" ref="H5:H66" si="2">G5/60</f>
        <v>1.5034367722800925E-2</v>
      </c>
      <c r="I5" s="184"/>
      <c r="J5" s="201"/>
      <c r="K5" s="201"/>
      <c r="L5" s="129"/>
      <c r="M5" s="129"/>
      <c r="N5" s="250"/>
      <c r="O5" s="143"/>
      <c r="P5" s="143"/>
      <c r="Q5" s="138"/>
    </row>
    <row r="6" spans="1:17" ht="33.75" customHeight="1" thickTop="1" thickBot="1">
      <c r="A6" s="237"/>
      <c r="B6" s="212"/>
      <c r="C6" s="220"/>
      <c r="D6" s="16" t="s">
        <v>7</v>
      </c>
      <c r="E6" s="20">
        <v>1387.6700129999999</v>
      </c>
      <c r="F6" s="28">
        <f t="shared" si="1"/>
        <v>28.9097919375</v>
      </c>
      <c r="G6" s="29">
        <f t="shared" si="0"/>
        <v>1.2045746640624999</v>
      </c>
      <c r="H6" s="24">
        <f t="shared" si="2"/>
        <v>2.0076244401041665E-2</v>
      </c>
      <c r="I6" s="58">
        <f>I41</f>
        <v>37683.828093594733</v>
      </c>
      <c r="J6" s="164"/>
      <c r="K6" s="164"/>
      <c r="L6" s="161"/>
      <c r="M6" s="161"/>
      <c r="N6" s="250"/>
      <c r="O6" s="175"/>
      <c r="P6" s="143"/>
      <c r="Q6" s="138"/>
    </row>
    <row r="7" spans="1:17" ht="15" customHeight="1">
      <c r="A7" s="238" t="s">
        <v>8</v>
      </c>
      <c r="B7" s="197" t="s">
        <v>44</v>
      </c>
      <c r="C7" s="216" t="s">
        <v>37</v>
      </c>
      <c r="D7" s="36" t="s">
        <v>11</v>
      </c>
      <c r="E7" s="30">
        <v>475.69607500000001</v>
      </c>
      <c r="F7" s="31">
        <f t="shared" si="1"/>
        <v>9.9103348958333335</v>
      </c>
      <c r="G7" s="32">
        <f t="shared" si="0"/>
        <v>0.41293062065972225</v>
      </c>
      <c r="H7" s="25">
        <f t="shared" si="2"/>
        <v>6.882177010995371E-3</v>
      </c>
      <c r="I7" s="174" t="s">
        <v>143</v>
      </c>
      <c r="J7" s="202">
        <f>I9/20*32</f>
        <v>86359.040000000008</v>
      </c>
      <c r="K7" s="135">
        <f>SUM(I7:J9)</f>
        <v>140333.44</v>
      </c>
      <c r="L7" s="153">
        <v>0.3</v>
      </c>
      <c r="M7" s="158" t="s">
        <v>118</v>
      </c>
      <c r="N7" s="135">
        <f>J7*L7</f>
        <v>25907.712000000003</v>
      </c>
      <c r="O7" s="133">
        <f>N7+I9</f>
        <v>79882.112000000008</v>
      </c>
      <c r="P7" s="116">
        <f>O7/5*4</f>
        <v>63905.689600000005</v>
      </c>
      <c r="Q7" s="139">
        <f t="shared" ref="Q7" si="3">P7*0.2</f>
        <v>12781.137920000001</v>
      </c>
    </row>
    <row r="8" spans="1:17" ht="15" customHeight="1">
      <c r="A8" s="238"/>
      <c r="B8" s="198"/>
      <c r="C8" s="217"/>
      <c r="D8" s="16" t="s">
        <v>9</v>
      </c>
      <c r="E8" s="20">
        <v>556.75664500000005</v>
      </c>
      <c r="F8" s="28">
        <f t="shared" si="1"/>
        <v>11.599096770833334</v>
      </c>
      <c r="G8" s="29">
        <f t="shared" si="0"/>
        <v>0.48329569878472228</v>
      </c>
      <c r="H8" s="24">
        <f t="shared" si="2"/>
        <v>8.0549283130787047E-3</v>
      </c>
      <c r="I8" s="174"/>
      <c r="J8" s="203"/>
      <c r="K8" s="124"/>
      <c r="L8" s="145"/>
      <c r="M8" s="156"/>
      <c r="N8" s="124"/>
      <c r="O8" s="131"/>
      <c r="P8" s="117"/>
      <c r="Q8" s="139"/>
    </row>
    <row r="9" spans="1:17" ht="27" customHeight="1" thickBot="1">
      <c r="A9" s="238"/>
      <c r="B9" s="199"/>
      <c r="C9" s="218"/>
      <c r="D9" s="16" t="s">
        <v>7</v>
      </c>
      <c r="E9" s="20">
        <v>916.00818200000003</v>
      </c>
      <c r="F9" s="28">
        <f t="shared" si="1"/>
        <v>19.083503791666669</v>
      </c>
      <c r="G9" s="29">
        <f t="shared" si="0"/>
        <v>0.79514599131944452</v>
      </c>
      <c r="H9" s="24">
        <f t="shared" si="2"/>
        <v>1.3252433188657408E-2</v>
      </c>
      <c r="I9" s="90">
        <f>I28 - (I28*0.2)</f>
        <v>53974.400000000001</v>
      </c>
      <c r="J9" s="204"/>
      <c r="K9" s="125"/>
      <c r="L9" s="154"/>
      <c r="M9" s="157"/>
      <c r="N9" s="125"/>
      <c r="O9" s="134"/>
      <c r="P9" s="148"/>
      <c r="Q9" s="139"/>
    </row>
    <row r="10" spans="1:17">
      <c r="A10" s="238" t="s">
        <v>7</v>
      </c>
      <c r="B10" s="197" t="s">
        <v>44</v>
      </c>
      <c r="C10" s="216" t="s">
        <v>37</v>
      </c>
      <c r="D10" s="16" t="s">
        <v>9</v>
      </c>
      <c r="E10" s="20">
        <v>389.69137699999999</v>
      </c>
      <c r="F10" s="28">
        <f t="shared" si="1"/>
        <v>8.1185703541666658</v>
      </c>
      <c r="G10" s="29">
        <f t="shared" si="0"/>
        <v>0.33827376475694443</v>
      </c>
      <c r="H10" s="24">
        <f t="shared" si="2"/>
        <v>5.6378960792824069E-3</v>
      </c>
      <c r="I10" s="186">
        <f>'Count Number (Actual)'!D25</f>
        <v>139338</v>
      </c>
      <c r="J10" s="124">
        <f>I10/20*32</f>
        <v>222940.79999999999</v>
      </c>
      <c r="K10" s="131">
        <f>SUM(I10:J12)</f>
        <v>362278.8</v>
      </c>
      <c r="L10" s="151">
        <v>0.5</v>
      </c>
      <c r="M10" s="159" t="s">
        <v>118</v>
      </c>
      <c r="N10" s="124">
        <f>J10*L10</f>
        <v>111470.39999999999</v>
      </c>
      <c r="O10" s="176">
        <f>I10+N10</f>
        <v>250808.4</v>
      </c>
      <c r="P10" s="141">
        <f>O10/5*4</f>
        <v>200646.72</v>
      </c>
      <c r="Q10" s="139">
        <f t="shared" ref="Q10" si="4">P10*0.2</f>
        <v>40129.344000000005</v>
      </c>
    </row>
    <row r="11" spans="1:17">
      <c r="A11" s="238"/>
      <c r="B11" s="198"/>
      <c r="C11" s="217"/>
      <c r="D11" s="36" t="s">
        <v>10</v>
      </c>
      <c r="E11" s="30">
        <v>885.31206699999996</v>
      </c>
      <c r="F11" s="31">
        <f t="shared" si="1"/>
        <v>18.444001395833332</v>
      </c>
      <c r="G11" s="32">
        <f t="shared" si="0"/>
        <v>0.76850005815972222</v>
      </c>
      <c r="H11" s="25">
        <f t="shared" si="2"/>
        <v>1.2808334302662037E-2</v>
      </c>
      <c r="I11" s="186"/>
      <c r="J11" s="124"/>
      <c r="K11" s="131"/>
      <c r="L11" s="145"/>
      <c r="M11" s="156"/>
      <c r="N11" s="124"/>
      <c r="O11" s="176"/>
      <c r="P11" s="141"/>
      <c r="Q11" s="139"/>
    </row>
    <row r="12" spans="1:17" ht="15.75" thickBot="1">
      <c r="A12" s="238"/>
      <c r="B12" s="199"/>
      <c r="C12" s="218"/>
      <c r="D12" s="16" t="s">
        <v>8</v>
      </c>
      <c r="E12" s="20">
        <v>916.00818200000003</v>
      </c>
      <c r="F12" s="28">
        <f t="shared" si="1"/>
        <v>19.083503791666669</v>
      </c>
      <c r="G12" s="29">
        <f t="shared" si="0"/>
        <v>0.79514599131944452</v>
      </c>
      <c r="H12" s="24">
        <f t="shared" si="2"/>
        <v>1.3252433188657408E-2</v>
      </c>
      <c r="I12" s="187"/>
      <c r="J12" s="128"/>
      <c r="K12" s="132"/>
      <c r="L12" s="154"/>
      <c r="M12" s="157"/>
      <c r="N12" s="125"/>
      <c r="O12" s="177"/>
      <c r="P12" s="141"/>
      <c r="Q12" s="139"/>
    </row>
    <row r="13" spans="1:17">
      <c r="A13" s="238" t="s">
        <v>12</v>
      </c>
      <c r="B13" s="197" t="s">
        <v>44</v>
      </c>
      <c r="C13" s="216" t="s">
        <v>37</v>
      </c>
      <c r="D13" s="36" t="s">
        <v>36</v>
      </c>
      <c r="E13" s="30">
        <v>1734.559841</v>
      </c>
      <c r="F13" s="31">
        <f t="shared" si="1"/>
        <v>36.136663354166664</v>
      </c>
      <c r="G13" s="32">
        <f t="shared" si="0"/>
        <v>1.505694306423611</v>
      </c>
      <c r="H13" s="25">
        <f t="shared" si="2"/>
        <v>2.5094905107060184E-2</v>
      </c>
      <c r="I13" s="178" t="s">
        <v>31</v>
      </c>
      <c r="J13" s="123">
        <f>I15/20*32</f>
        <v>60294.124949751575</v>
      </c>
      <c r="K13" s="130">
        <f>SUM(I13:J15)</f>
        <v>97977.953043346308</v>
      </c>
      <c r="L13" s="151">
        <v>0.25</v>
      </c>
      <c r="M13" s="155" t="s">
        <v>118</v>
      </c>
      <c r="N13" s="124">
        <f>J13*L13</f>
        <v>15073.531237437894</v>
      </c>
      <c r="O13" s="113">
        <f>N13+I15</f>
        <v>52757.359331032625</v>
      </c>
      <c r="P13" s="141">
        <f>O13/5*4</f>
        <v>42205.887464826097</v>
      </c>
      <c r="Q13" s="139">
        <f t="shared" ref="Q13" si="5">P13*0.2</f>
        <v>8441.1774929652202</v>
      </c>
    </row>
    <row r="14" spans="1:17">
      <c r="A14" s="238"/>
      <c r="B14" s="198"/>
      <c r="C14" s="217"/>
      <c r="D14" s="16" t="s">
        <v>87</v>
      </c>
      <c r="E14" s="20">
        <v>2139.310845</v>
      </c>
      <c r="F14" s="28">
        <f t="shared" si="1"/>
        <v>44.568975937499999</v>
      </c>
      <c r="G14" s="29">
        <f t="shared" si="0"/>
        <v>1.8570406640624999</v>
      </c>
      <c r="H14" s="24">
        <f t="shared" si="2"/>
        <v>3.0950677734374998E-2</v>
      </c>
      <c r="I14" s="179"/>
      <c r="J14" s="124"/>
      <c r="K14" s="131"/>
      <c r="L14" s="145"/>
      <c r="M14" s="156"/>
      <c r="N14" s="124"/>
      <c r="O14" s="114"/>
      <c r="P14" s="141"/>
      <c r="Q14" s="139"/>
    </row>
    <row r="15" spans="1:17" ht="15.75" thickBot="1">
      <c r="A15" s="238"/>
      <c r="B15" s="199"/>
      <c r="C15" s="218"/>
      <c r="D15" s="36" t="s">
        <v>10</v>
      </c>
      <c r="E15" s="30">
        <v>2404.723767</v>
      </c>
      <c r="F15" s="31">
        <f t="shared" si="1"/>
        <v>50.098411812499997</v>
      </c>
      <c r="G15" s="32">
        <f t="shared" si="0"/>
        <v>2.0874338255208333</v>
      </c>
      <c r="H15" s="25">
        <f t="shared" si="2"/>
        <v>3.4790563758680552E-2</v>
      </c>
      <c r="I15" s="58">
        <f>I41</f>
        <v>37683.828093594733</v>
      </c>
      <c r="J15" s="128"/>
      <c r="K15" s="132"/>
      <c r="L15" s="145"/>
      <c r="M15" s="157"/>
      <c r="N15" s="125"/>
      <c r="O15" s="168"/>
      <c r="P15" s="141"/>
      <c r="Q15" s="139"/>
    </row>
    <row r="16" spans="1:17">
      <c r="A16" s="238" t="s">
        <v>15</v>
      </c>
      <c r="B16" s="197" t="s">
        <v>45</v>
      </c>
      <c r="C16" s="217" t="s">
        <v>37</v>
      </c>
      <c r="D16" s="36" t="s">
        <v>20</v>
      </c>
      <c r="E16" s="30">
        <v>329.35188099999999</v>
      </c>
      <c r="F16" s="31">
        <f t="shared" si="1"/>
        <v>6.8614975208333329</v>
      </c>
      <c r="G16" s="32">
        <f t="shared" si="0"/>
        <v>0.28589573003472218</v>
      </c>
      <c r="H16" s="25">
        <f t="shared" si="2"/>
        <v>4.7649288339120365E-3</v>
      </c>
      <c r="I16" s="178" t="s">
        <v>97</v>
      </c>
      <c r="J16" s="123">
        <f>I18/20*32</f>
        <v>152065.53352399758</v>
      </c>
      <c r="K16" s="130">
        <f>SUM(I16:J18)</f>
        <v>247106.49197649607</v>
      </c>
      <c r="L16" s="145">
        <v>0.5</v>
      </c>
      <c r="M16" s="155" t="s">
        <v>118</v>
      </c>
      <c r="N16" s="124">
        <f>J16*L16</f>
        <v>76032.766761998791</v>
      </c>
      <c r="O16" s="113">
        <f>J16*L16</f>
        <v>76032.766761998791</v>
      </c>
      <c r="P16" s="141">
        <f>O16/5*4</f>
        <v>60826.213409599033</v>
      </c>
      <c r="Q16" s="139">
        <f t="shared" ref="Q16" si="6">P16*0.2</f>
        <v>12165.242681919808</v>
      </c>
    </row>
    <row r="17" spans="1:17">
      <c r="A17" s="238"/>
      <c r="B17" s="198"/>
      <c r="C17" s="217"/>
      <c r="D17" s="36" t="s">
        <v>34</v>
      </c>
      <c r="E17" s="30">
        <v>550.30117800000005</v>
      </c>
      <c r="F17" s="31">
        <f t="shared" si="1"/>
        <v>11.464607875</v>
      </c>
      <c r="G17" s="32">
        <f t="shared" si="0"/>
        <v>0.47769199479166669</v>
      </c>
      <c r="H17" s="25">
        <f t="shared" si="2"/>
        <v>7.9615332465277789E-3</v>
      </c>
      <c r="I17" s="179"/>
      <c r="J17" s="124"/>
      <c r="K17" s="131"/>
      <c r="L17" s="145"/>
      <c r="M17" s="156"/>
      <c r="N17" s="124"/>
      <c r="O17" s="114"/>
      <c r="P17" s="141"/>
      <c r="Q17" s="139"/>
    </row>
    <row r="18" spans="1:17" ht="15.75" thickBot="1">
      <c r="A18" s="238"/>
      <c r="B18" s="199"/>
      <c r="C18" s="218"/>
      <c r="D18" s="16" t="s">
        <v>16</v>
      </c>
      <c r="E18" s="20">
        <v>562.16925100000003</v>
      </c>
      <c r="F18" s="28">
        <f t="shared" si="1"/>
        <v>11.711859395833335</v>
      </c>
      <c r="G18" s="29">
        <f t="shared" si="0"/>
        <v>0.48799414149305559</v>
      </c>
      <c r="H18" s="24">
        <f t="shared" si="2"/>
        <v>8.1332356915509267E-3</v>
      </c>
      <c r="I18" s="58">
        <f>I71</f>
        <v>95040.958452498482</v>
      </c>
      <c r="J18" s="128"/>
      <c r="K18" s="132"/>
      <c r="L18" s="145"/>
      <c r="M18" s="157"/>
      <c r="N18" s="125"/>
      <c r="O18" s="168"/>
      <c r="P18" s="141"/>
      <c r="Q18" s="139"/>
    </row>
    <row r="19" spans="1:17">
      <c r="A19" s="238" t="s">
        <v>14</v>
      </c>
      <c r="B19" s="197" t="s">
        <v>45</v>
      </c>
      <c r="C19" s="216" t="s">
        <v>37</v>
      </c>
      <c r="D19" s="36" t="s">
        <v>20</v>
      </c>
      <c r="E19" s="30">
        <v>260.55944</v>
      </c>
      <c r="F19" s="31">
        <f t="shared" si="1"/>
        <v>5.4283216666666663</v>
      </c>
      <c r="G19" s="32">
        <f t="shared" si="0"/>
        <v>0.22618006944444444</v>
      </c>
      <c r="H19" s="25">
        <f t="shared" si="2"/>
        <v>3.7696678240740742E-3</v>
      </c>
      <c r="I19" s="185">
        <f>'Count Number (Actual)'!H25</f>
        <v>162208</v>
      </c>
      <c r="J19" s="123">
        <f>I19/20*32</f>
        <v>259532.79999999999</v>
      </c>
      <c r="K19" s="130">
        <f>SUM(I19:J21)</f>
        <v>421740.79999999999</v>
      </c>
      <c r="L19" s="145">
        <v>0.5</v>
      </c>
      <c r="M19" s="155" t="s">
        <v>118</v>
      </c>
      <c r="N19" s="124">
        <f>J19*L19</f>
        <v>129766.39999999999</v>
      </c>
      <c r="O19" s="113">
        <f>SUM(I19:J21)*L19</f>
        <v>210870.39999999999</v>
      </c>
      <c r="P19" s="141">
        <f>O19/5*4</f>
        <v>168696.32000000001</v>
      </c>
      <c r="Q19" s="139">
        <f t="shared" ref="Q19" si="7">P19*0.2</f>
        <v>33739.264000000003</v>
      </c>
    </row>
    <row r="20" spans="1:17">
      <c r="A20" s="238"/>
      <c r="B20" s="198"/>
      <c r="C20" s="217"/>
      <c r="D20" s="16" t="s">
        <v>16</v>
      </c>
      <c r="E20" s="20">
        <v>413.35362800000001</v>
      </c>
      <c r="F20" s="28">
        <f t="shared" si="1"/>
        <v>8.6115339166666676</v>
      </c>
      <c r="G20" s="29">
        <f t="shared" si="0"/>
        <v>0.3588139131944445</v>
      </c>
      <c r="H20" s="24">
        <f t="shared" si="2"/>
        <v>5.9802318865740754E-3</v>
      </c>
      <c r="I20" s="186"/>
      <c r="J20" s="124"/>
      <c r="K20" s="131"/>
      <c r="L20" s="145"/>
      <c r="M20" s="156"/>
      <c r="N20" s="124"/>
      <c r="O20" s="114"/>
      <c r="P20" s="141"/>
      <c r="Q20" s="139"/>
    </row>
    <row r="21" spans="1:17" ht="15.75" thickBot="1">
      <c r="A21" s="238"/>
      <c r="B21" s="199"/>
      <c r="C21" s="218"/>
      <c r="D21" s="16" t="s">
        <v>19</v>
      </c>
      <c r="E21" s="20">
        <v>440.89840099999998</v>
      </c>
      <c r="F21" s="28">
        <f t="shared" si="1"/>
        <v>9.1853833541666656</v>
      </c>
      <c r="G21" s="29">
        <f t="shared" si="0"/>
        <v>0.38272430642361105</v>
      </c>
      <c r="H21" s="24">
        <f t="shared" si="2"/>
        <v>6.3787384403935178E-3</v>
      </c>
      <c r="I21" s="187"/>
      <c r="J21" s="128"/>
      <c r="K21" s="132"/>
      <c r="L21" s="145"/>
      <c r="M21" s="157"/>
      <c r="N21" s="125"/>
      <c r="O21" s="168"/>
      <c r="P21" s="141"/>
      <c r="Q21" s="139"/>
    </row>
    <row r="22" spans="1:17">
      <c r="A22" s="238" t="s">
        <v>13</v>
      </c>
      <c r="B22" s="197" t="s">
        <v>45</v>
      </c>
      <c r="C22" s="216" t="s">
        <v>37</v>
      </c>
      <c r="D22" s="16" t="s">
        <v>16</v>
      </c>
      <c r="E22" s="20">
        <v>466.78924799999999</v>
      </c>
      <c r="F22" s="28">
        <f t="shared" si="1"/>
        <v>9.7247760000000003</v>
      </c>
      <c r="G22" s="29">
        <f t="shared" si="0"/>
        <v>0.40519900000000003</v>
      </c>
      <c r="H22" s="24">
        <f t="shared" si="2"/>
        <v>6.7533166666666668E-3</v>
      </c>
      <c r="I22" s="189">
        <v>0</v>
      </c>
      <c r="J22" s="205">
        <f>O22</f>
        <v>9312.65</v>
      </c>
      <c r="K22" s="130">
        <f t="shared" ref="K22" si="8">SUM(I22:J24)</f>
        <v>9312.65</v>
      </c>
      <c r="L22" s="145">
        <v>0</v>
      </c>
      <c r="M22" s="155" t="s">
        <v>118</v>
      </c>
      <c r="N22" s="124">
        <f>J22*L22</f>
        <v>0</v>
      </c>
      <c r="O22" s="165">
        <f>Q22*5</f>
        <v>9312.65</v>
      </c>
      <c r="P22" s="149">
        <f>O22/5*4</f>
        <v>7450.12</v>
      </c>
      <c r="Q22" s="137">
        <v>1862.53</v>
      </c>
    </row>
    <row r="23" spans="1:17">
      <c r="A23" s="238"/>
      <c r="B23" s="198"/>
      <c r="C23" s="217"/>
      <c r="D23" s="36" t="s">
        <v>20</v>
      </c>
      <c r="E23" s="30">
        <v>807.47738500000003</v>
      </c>
      <c r="F23" s="31">
        <f t="shared" si="1"/>
        <v>16.822445520833334</v>
      </c>
      <c r="G23" s="32">
        <f t="shared" si="0"/>
        <v>0.70093523003472225</v>
      </c>
      <c r="H23" s="25">
        <f t="shared" si="2"/>
        <v>1.1682253833912037E-2</v>
      </c>
      <c r="I23" s="190"/>
      <c r="J23" s="206"/>
      <c r="K23" s="131"/>
      <c r="L23" s="145"/>
      <c r="M23" s="156"/>
      <c r="N23" s="124"/>
      <c r="O23" s="166"/>
      <c r="P23" s="149"/>
      <c r="Q23" s="137"/>
    </row>
    <row r="24" spans="1:17" ht="15.75" thickBot="1">
      <c r="A24" s="238"/>
      <c r="B24" s="199"/>
      <c r="C24" s="218"/>
      <c r="D24" s="16" t="s">
        <v>14</v>
      </c>
      <c r="E24" s="20">
        <v>875.35933699999998</v>
      </c>
      <c r="F24" s="28">
        <f t="shared" si="1"/>
        <v>18.236652854166667</v>
      </c>
      <c r="G24" s="29">
        <f t="shared" si="0"/>
        <v>0.75986053559027777</v>
      </c>
      <c r="H24" s="24">
        <f t="shared" si="2"/>
        <v>1.2664342259837962E-2</v>
      </c>
      <c r="I24" s="191"/>
      <c r="J24" s="206"/>
      <c r="K24" s="131"/>
      <c r="L24" s="152"/>
      <c r="M24" s="156"/>
      <c r="N24" s="124"/>
      <c r="O24" s="166"/>
      <c r="P24" s="149"/>
      <c r="Q24" s="137"/>
    </row>
    <row r="25" spans="1:17">
      <c r="A25" s="238" t="s">
        <v>16</v>
      </c>
      <c r="B25" s="197" t="s">
        <v>45</v>
      </c>
      <c r="C25" s="216" t="s">
        <v>37</v>
      </c>
      <c r="D25" s="36" t="s">
        <v>20</v>
      </c>
      <c r="E25" s="30">
        <v>332.471879</v>
      </c>
      <c r="F25" s="31">
        <f t="shared" si="1"/>
        <v>6.9264974791666667</v>
      </c>
      <c r="G25" s="32">
        <f t="shared" si="0"/>
        <v>0.28860406163194446</v>
      </c>
      <c r="H25" s="25">
        <f t="shared" si="2"/>
        <v>4.8100676938657412E-3</v>
      </c>
      <c r="I25" s="192" t="s">
        <v>7</v>
      </c>
      <c r="J25" s="207">
        <f>I27/20*32</f>
        <v>222940.79999999999</v>
      </c>
      <c r="K25" s="133">
        <f t="shared" ref="K25" si="9">SUM(I25:J27)</f>
        <v>362278.8</v>
      </c>
      <c r="L25" s="153">
        <v>0.5</v>
      </c>
      <c r="M25" s="158" t="s">
        <v>118</v>
      </c>
      <c r="N25" s="135">
        <f>J25*L25</f>
        <v>111470.39999999999</v>
      </c>
      <c r="O25" s="133">
        <f>I27+N25</f>
        <v>250808.4</v>
      </c>
      <c r="P25" s="150">
        <f>O25/5*4</f>
        <v>200646.72</v>
      </c>
      <c r="Q25" s="139">
        <f t="shared" ref="Q25" si="10">P25*0.2</f>
        <v>40129.344000000005</v>
      </c>
    </row>
    <row r="26" spans="1:17">
      <c r="A26" s="238"/>
      <c r="B26" s="198"/>
      <c r="C26" s="217"/>
      <c r="D26" s="16" t="s">
        <v>14</v>
      </c>
      <c r="E26" s="20">
        <v>413.35362800000001</v>
      </c>
      <c r="F26" s="28">
        <f t="shared" si="1"/>
        <v>8.6115339166666676</v>
      </c>
      <c r="G26" s="29">
        <f t="shared" si="0"/>
        <v>0.3588139131944445</v>
      </c>
      <c r="H26" s="24">
        <f t="shared" si="2"/>
        <v>5.9802318865740754E-3</v>
      </c>
      <c r="I26" s="193"/>
      <c r="J26" s="208"/>
      <c r="K26" s="131"/>
      <c r="L26" s="145"/>
      <c r="M26" s="156"/>
      <c r="N26" s="124"/>
      <c r="O26" s="131"/>
      <c r="P26" s="150"/>
      <c r="Q26" s="139"/>
    </row>
    <row r="27" spans="1:17" ht="15.75" thickBot="1">
      <c r="A27" s="238"/>
      <c r="B27" s="199"/>
      <c r="C27" s="218"/>
      <c r="D27" s="16" t="s">
        <v>13</v>
      </c>
      <c r="E27" s="20">
        <v>466.78924799999999</v>
      </c>
      <c r="F27" s="28">
        <f t="shared" si="1"/>
        <v>9.7247760000000003</v>
      </c>
      <c r="G27" s="29">
        <f t="shared" si="0"/>
        <v>0.40519900000000003</v>
      </c>
      <c r="H27" s="24">
        <f t="shared" si="2"/>
        <v>6.7533166666666668E-3</v>
      </c>
      <c r="I27" s="90">
        <f>I10</f>
        <v>139338</v>
      </c>
      <c r="J27" s="209"/>
      <c r="K27" s="134"/>
      <c r="L27" s="154"/>
      <c r="M27" s="157"/>
      <c r="N27" s="125"/>
      <c r="O27" s="134"/>
      <c r="P27" s="150"/>
      <c r="Q27" s="139"/>
    </row>
    <row r="28" spans="1:17">
      <c r="A28" s="238" t="s">
        <v>18</v>
      </c>
      <c r="B28" s="197" t="s">
        <v>45</v>
      </c>
      <c r="C28" s="216" t="s">
        <v>37</v>
      </c>
      <c r="D28" s="16" t="s">
        <v>88</v>
      </c>
      <c r="E28" s="20">
        <v>287.269406</v>
      </c>
      <c r="F28" s="28">
        <f t="shared" si="1"/>
        <v>5.9847792916666664</v>
      </c>
      <c r="G28" s="29">
        <f t="shared" si="0"/>
        <v>0.24936580381944443</v>
      </c>
      <c r="H28" s="24">
        <f t="shared" si="2"/>
        <v>4.1560967303240735E-3</v>
      </c>
      <c r="I28" s="185">
        <f>'Count Number (Actual)'!I25</f>
        <v>67468</v>
      </c>
      <c r="J28" s="114">
        <f>I28/20*32</f>
        <v>107948.8</v>
      </c>
      <c r="K28" s="131">
        <f>SUM(I28:J29)</f>
        <v>175416.8</v>
      </c>
      <c r="L28" s="151">
        <v>0.5</v>
      </c>
      <c r="M28" s="159" t="s">
        <v>118</v>
      </c>
      <c r="N28" s="124">
        <f>J28*L28</f>
        <v>53974.400000000001</v>
      </c>
      <c r="O28" s="133" t="e">
        <f>#REF!+N28</f>
        <v>#REF!</v>
      </c>
      <c r="P28" s="141" t="e">
        <f>O28/5*4</f>
        <v>#REF!</v>
      </c>
      <c r="Q28" s="139" t="e">
        <f t="shared" ref="Q28" si="11">P28*0.2</f>
        <v>#REF!</v>
      </c>
    </row>
    <row r="29" spans="1:17" ht="15.75" thickBot="1">
      <c r="A29" s="238"/>
      <c r="B29" s="198"/>
      <c r="C29" s="217"/>
      <c r="D29" s="36" t="s">
        <v>19</v>
      </c>
      <c r="E29" s="30">
        <v>388.53159599999998</v>
      </c>
      <c r="F29" s="31">
        <f t="shared" si="1"/>
        <v>8.094408249999999</v>
      </c>
      <c r="G29" s="32">
        <f t="shared" si="0"/>
        <v>0.33726701041666662</v>
      </c>
      <c r="H29" s="25">
        <f t="shared" si="2"/>
        <v>5.6211168402777768E-3</v>
      </c>
      <c r="I29" s="186"/>
      <c r="J29" s="114"/>
      <c r="K29" s="131"/>
      <c r="L29" s="145"/>
      <c r="M29" s="156"/>
      <c r="N29" s="124"/>
      <c r="O29" s="131"/>
      <c r="P29" s="141"/>
      <c r="Q29" s="139"/>
    </row>
    <row r="30" spans="1:17" ht="15" customHeight="1" thickTop="1" thickBot="1">
      <c r="A30" s="239" t="s">
        <v>30</v>
      </c>
      <c r="B30" s="197" t="s">
        <v>46</v>
      </c>
      <c r="C30" s="213" t="s">
        <v>38</v>
      </c>
      <c r="D30" s="36" t="s">
        <v>60</v>
      </c>
      <c r="E30" s="30">
        <v>544.31066199999998</v>
      </c>
      <c r="F30" s="31">
        <f t="shared" si="1"/>
        <v>11.339805458333332</v>
      </c>
      <c r="G30" s="32">
        <f t="shared" si="0"/>
        <v>0.4724918940972222</v>
      </c>
      <c r="H30" s="25">
        <f t="shared" si="2"/>
        <v>7.8748649016203692E-3</v>
      </c>
      <c r="I30" s="194" t="s">
        <v>116</v>
      </c>
      <c r="J30" s="126" t="s">
        <v>104</v>
      </c>
      <c r="K30" s="126" t="s">
        <v>104</v>
      </c>
      <c r="L30" s="129">
        <v>0.1</v>
      </c>
      <c r="M30" s="129" t="s">
        <v>100</v>
      </c>
      <c r="N30" s="119" t="s">
        <v>104</v>
      </c>
      <c r="O30" s="143">
        <f>(I32/10)+I32</f>
        <v>16580.884361181685</v>
      </c>
      <c r="P30" s="143">
        <f>O30/5*4</f>
        <v>13264.707488945347</v>
      </c>
      <c r="Q30" s="138">
        <f t="shared" ref="Q30" si="12">P30*0.2</f>
        <v>2652.9414977890697</v>
      </c>
    </row>
    <row r="31" spans="1:17" ht="16.5" thickTop="1" thickBot="1">
      <c r="A31" s="239"/>
      <c r="B31" s="198"/>
      <c r="C31" s="214"/>
      <c r="D31" s="16" t="s">
        <v>89</v>
      </c>
      <c r="E31" s="20">
        <v>777.54553399999998</v>
      </c>
      <c r="F31" s="28">
        <f t="shared" si="1"/>
        <v>16.198865291666667</v>
      </c>
      <c r="G31" s="29">
        <f t="shared" si="0"/>
        <v>0.6749527204861111</v>
      </c>
      <c r="H31" s="24">
        <f t="shared" si="2"/>
        <v>1.1249212008101852E-2</v>
      </c>
      <c r="I31" s="195"/>
      <c r="J31" s="126"/>
      <c r="K31" s="126"/>
      <c r="L31" s="129"/>
      <c r="M31" s="129"/>
      <c r="N31" s="120"/>
      <c r="O31" s="143"/>
      <c r="P31" s="143"/>
      <c r="Q31" s="138"/>
    </row>
    <row r="32" spans="1:17" ht="24" customHeight="1" thickTop="1" thickBot="1">
      <c r="A32" s="239"/>
      <c r="B32" s="199"/>
      <c r="C32" s="215"/>
      <c r="D32" s="16" t="s">
        <v>27</v>
      </c>
      <c r="E32" s="20">
        <v>1115.603218</v>
      </c>
      <c r="F32" s="28">
        <f t="shared" si="1"/>
        <v>23.241733708333332</v>
      </c>
      <c r="G32" s="29">
        <f t="shared" si="0"/>
        <v>0.96840557118055548</v>
      </c>
      <c r="H32" s="24">
        <f t="shared" si="2"/>
        <v>1.6140092853009259E-2</v>
      </c>
      <c r="I32" s="56">
        <f>I41*0.4</f>
        <v>15073.531237437894</v>
      </c>
      <c r="J32" s="126"/>
      <c r="K32" s="126"/>
      <c r="L32" s="129"/>
      <c r="M32" s="129"/>
      <c r="N32" s="121"/>
      <c r="O32" s="143"/>
      <c r="P32" s="143"/>
      <c r="Q32" s="138"/>
    </row>
    <row r="33" spans="1:17" ht="16.5" thickTop="1" thickBot="1">
      <c r="A33" s="188"/>
      <c r="B33" s="210"/>
      <c r="C33" s="221"/>
      <c r="D33" s="37" t="s">
        <v>89</v>
      </c>
      <c r="E33" s="33">
        <v>560.58364700000004</v>
      </c>
      <c r="F33" s="34">
        <f t="shared" si="1"/>
        <v>11.678825979166668</v>
      </c>
      <c r="G33" s="35">
        <f t="shared" si="0"/>
        <v>0.4866177491319445</v>
      </c>
      <c r="H33" s="26">
        <f t="shared" si="2"/>
        <v>8.1102958188657408E-3</v>
      </c>
      <c r="I33" s="188"/>
      <c r="J33" s="122"/>
      <c r="K33" s="122"/>
      <c r="L33" s="163"/>
      <c r="M33" s="163"/>
      <c r="N33" s="120"/>
      <c r="O33" s="122"/>
      <c r="P33" s="122"/>
      <c r="Q33" s="136"/>
    </row>
    <row r="34" spans="1:17" ht="16.5" thickTop="1" thickBot="1">
      <c r="A34" s="188"/>
      <c r="B34" s="210"/>
      <c r="C34" s="221"/>
      <c r="D34" s="37" t="s">
        <v>60</v>
      </c>
      <c r="E34" s="33">
        <v>686.79484600000001</v>
      </c>
      <c r="F34" s="34">
        <f t="shared" si="1"/>
        <v>14.308225958333333</v>
      </c>
      <c r="G34" s="35">
        <f t="shared" ref="G34:G65" si="13">F34/24</f>
        <v>0.59617608159722224</v>
      </c>
      <c r="H34" s="26">
        <f t="shared" si="2"/>
        <v>9.9362680266203707E-3</v>
      </c>
      <c r="I34" s="188"/>
      <c r="J34" s="122"/>
      <c r="K34" s="122"/>
      <c r="L34" s="163"/>
      <c r="M34" s="163"/>
      <c r="N34" s="121"/>
      <c r="O34" s="122"/>
      <c r="P34" s="122"/>
      <c r="Q34" s="136"/>
    </row>
    <row r="35" spans="1:17" ht="16.5" thickTop="1" thickBot="1">
      <c r="A35" s="239" t="s">
        <v>60</v>
      </c>
      <c r="B35" s="197" t="s">
        <v>46</v>
      </c>
      <c r="C35" s="222" t="s">
        <v>38</v>
      </c>
      <c r="D35" s="16" t="s">
        <v>89</v>
      </c>
      <c r="E35" s="20">
        <v>375.60358200000002</v>
      </c>
      <c r="F35" s="28">
        <f t="shared" si="1"/>
        <v>7.8250746250000001</v>
      </c>
      <c r="G35" s="29">
        <f t="shared" si="13"/>
        <v>0.32604477604166665</v>
      </c>
      <c r="H35" s="24">
        <f t="shared" si="2"/>
        <v>5.4340796006944444E-3</v>
      </c>
      <c r="I35" s="253">
        <f>'Count Number (Actual)'!N25</f>
        <v>58514</v>
      </c>
      <c r="J35" s="122" t="s">
        <v>104</v>
      </c>
      <c r="K35" s="122" t="s">
        <v>104</v>
      </c>
      <c r="L35" s="129">
        <v>0.1</v>
      </c>
      <c r="M35" s="129" t="s">
        <v>100</v>
      </c>
      <c r="N35" s="126" t="s">
        <v>104</v>
      </c>
      <c r="O35" s="143">
        <f>(I35/10)+I35</f>
        <v>64365.4</v>
      </c>
      <c r="P35" s="143">
        <f>O35/5*4</f>
        <v>51492.32</v>
      </c>
      <c r="Q35" s="138">
        <f t="shared" ref="Q35" si="14">P35*0.2</f>
        <v>10298.464</v>
      </c>
    </row>
    <row r="36" spans="1:17" ht="16.5" thickTop="1" thickBot="1">
      <c r="A36" s="239"/>
      <c r="B36" s="198"/>
      <c r="C36" s="214"/>
      <c r="D36" s="36" t="s">
        <v>30</v>
      </c>
      <c r="E36" s="30">
        <v>544.31066199999998</v>
      </c>
      <c r="F36" s="31">
        <f t="shared" si="1"/>
        <v>11.339805458333332</v>
      </c>
      <c r="G36" s="32">
        <f t="shared" si="13"/>
        <v>0.4724918940972222</v>
      </c>
      <c r="H36" s="25">
        <f t="shared" si="2"/>
        <v>7.8748649016203692E-3</v>
      </c>
      <c r="I36" s="186"/>
      <c r="J36" s="122"/>
      <c r="K36" s="122"/>
      <c r="L36" s="129"/>
      <c r="M36" s="129"/>
      <c r="N36" s="126"/>
      <c r="O36" s="143"/>
      <c r="P36" s="143"/>
      <c r="Q36" s="138"/>
    </row>
    <row r="37" spans="1:17" ht="16.5" thickTop="1" thickBot="1">
      <c r="A37" s="239"/>
      <c r="B37" s="199"/>
      <c r="C37" s="219"/>
      <c r="D37" s="37" t="s">
        <v>22</v>
      </c>
      <c r="E37" s="33">
        <v>686.79484600000001</v>
      </c>
      <c r="F37" s="34">
        <f t="shared" si="1"/>
        <v>14.308225958333333</v>
      </c>
      <c r="G37" s="35">
        <f t="shared" si="13"/>
        <v>0.59617608159722224</v>
      </c>
      <c r="H37" s="26">
        <f t="shared" si="2"/>
        <v>9.9362680266203707E-3</v>
      </c>
      <c r="I37" s="232"/>
      <c r="J37" s="122"/>
      <c r="K37" s="122"/>
      <c r="L37" s="129"/>
      <c r="M37" s="129"/>
      <c r="N37" s="126"/>
      <c r="O37" s="143"/>
      <c r="P37" s="143"/>
      <c r="Q37" s="138"/>
    </row>
    <row r="38" spans="1:17" ht="16.5" thickTop="1" thickBot="1">
      <c r="A38" s="239" t="s">
        <v>29</v>
      </c>
      <c r="B38" s="197" t="s">
        <v>46</v>
      </c>
      <c r="C38" s="223" t="s">
        <v>38</v>
      </c>
      <c r="D38" s="36" t="s">
        <v>32</v>
      </c>
      <c r="E38" s="30">
        <v>371.65383800000001</v>
      </c>
      <c r="F38" s="31">
        <f t="shared" si="1"/>
        <v>7.7427882916666668</v>
      </c>
      <c r="G38" s="32">
        <f t="shared" si="13"/>
        <v>0.32261617881944443</v>
      </c>
      <c r="H38" s="25">
        <f t="shared" si="2"/>
        <v>5.376936313657407E-3</v>
      </c>
      <c r="I38" s="180" t="s">
        <v>97</v>
      </c>
      <c r="J38" s="122" t="s">
        <v>104</v>
      </c>
      <c r="K38" s="122" t="s">
        <v>104</v>
      </c>
      <c r="L38" s="129">
        <v>0.1</v>
      </c>
      <c r="M38" s="129" t="s">
        <v>100</v>
      </c>
      <c r="N38" s="126" t="s">
        <v>104</v>
      </c>
      <c r="O38" s="143">
        <f>(I40/10)+I40</f>
        <v>104545.05429774833</v>
      </c>
      <c r="P38" s="143">
        <f>O38/5*4</f>
        <v>83636.043438198656</v>
      </c>
      <c r="Q38" s="138">
        <f t="shared" ref="Q38" si="15">P38*0.2</f>
        <v>16727.208687639733</v>
      </c>
    </row>
    <row r="39" spans="1:17" ht="16.5" thickTop="1" thickBot="1">
      <c r="A39" s="239"/>
      <c r="B39" s="198"/>
      <c r="C39" s="214"/>
      <c r="D39" s="16" t="s">
        <v>90</v>
      </c>
      <c r="E39" s="20">
        <v>638.64031</v>
      </c>
      <c r="F39" s="28">
        <f t="shared" si="1"/>
        <v>13.305006458333333</v>
      </c>
      <c r="G39" s="29">
        <f t="shared" si="13"/>
        <v>0.55437526909722223</v>
      </c>
      <c r="H39" s="24">
        <f t="shared" si="2"/>
        <v>9.2395878182870376E-3</v>
      </c>
      <c r="I39" s="181"/>
      <c r="J39" s="122"/>
      <c r="K39" s="122"/>
      <c r="L39" s="129"/>
      <c r="M39" s="129"/>
      <c r="N39" s="126"/>
      <c r="O39" s="143"/>
      <c r="P39" s="143"/>
      <c r="Q39" s="138"/>
    </row>
    <row r="40" spans="1:17" ht="16.5" thickTop="1" thickBot="1">
      <c r="A40" s="239"/>
      <c r="B40" s="199"/>
      <c r="C40" s="219"/>
      <c r="D40" s="16" t="s">
        <v>23</v>
      </c>
      <c r="E40" s="20">
        <v>1728.8060949999999</v>
      </c>
      <c r="F40" s="28">
        <f t="shared" si="1"/>
        <v>36.016793645833332</v>
      </c>
      <c r="G40" s="29">
        <f t="shared" si="13"/>
        <v>1.5006997352430556</v>
      </c>
      <c r="H40" s="24">
        <f t="shared" si="2"/>
        <v>2.5011662254050927E-2</v>
      </c>
      <c r="I40" s="57">
        <f>I71</f>
        <v>95040.958452498482</v>
      </c>
      <c r="J40" s="122"/>
      <c r="K40" s="122"/>
      <c r="L40" s="129"/>
      <c r="M40" s="129"/>
      <c r="N40" s="126"/>
      <c r="O40" s="143"/>
      <c r="P40" s="143"/>
      <c r="Q40" s="138"/>
    </row>
    <row r="41" spans="1:17" ht="16.5" customHeight="1" thickTop="1" thickBot="1">
      <c r="A41" s="239" t="s">
        <v>31</v>
      </c>
      <c r="B41" s="197" t="s">
        <v>46</v>
      </c>
      <c r="C41" s="223" t="s">
        <v>38</v>
      </c>
      <c r="D41" s="16" t="s">
        <v>21</v>
      </c>
      <c r="E41" s="20">
        <v>1074.435637</v>
      </c>
      <c r="F41" s="28">
        <f t="shared" si="1"/>
        <v>22.384075770833334</v>
      </c>
      <c r="G41" s="29">
        <f t="shared" si="13"/>
        <v>0.9326698237847223</v>
      </c>
      <c r="H41" s="24">
        <f t="shared" si="2"/>
        <v>1.5544497063078705E-2</v>
      </c>
      <c r="I41" s="251">
        <f>'Count Number (Actual)'!K25</f>
        <v>37683.828093594733</v>
      </c>
      <c r="J41" s="122" t="s">
        <v>104</v>
      </c>
      <c r="K41" s="122" t="s">
        <v>104</v>
      </c>
      <c r="L41" s="129">
        <v>0.1</v>
      </c>
      <c r="M41" s="129" t="s">
        <v>100</v>
      </c>
      <c r="N41" s="126" t="s">
        <v>104</v>
      </c>
      <c r="O41" s="143">
        <f>(I41/10)+I41</f>
        <v>41452.210902954204</v>
      </c>
      <c r="P41" s="143">
        <f>O41/5*4</f>
        <v>33161.768722363362</v>
      </c>
      <c r="Q41" s="138">
        <f t="shared" ref="Q41" si="16">P41*0.2</f>
        <v>6632.3537444726726</v>
      </c>
    </row>
    <row r="42" spans="1:17" ht="16.5" thickTop="1" thickBot="1">
      <c r="A42" s="239"/>
      <c r="B42" s="198"/>
      <c r="C42" s="214"/>
      <c r="D42" s="16" t="s">
        <v>27</v>
      </c>
      <c r="E42" s="20">
        <v>1227.1608530000001</v>
      </c>
      <c r="F42" s="28">
        <f t="shared" si="1"/>
        <v>25.565851104166669</v>
      </c>
      <c r="G42" s="29">
        <f t="shared" si="13"/>
        <v>1.0652437960069445</v>
      </c>
      <c r="H42" s="24">
        <f t="shared" si="2"/>
        <v>1.7754063266782409E-2</v>
      </c>
      <c r="I42" s="229"/>
      <c r="J42" s="122"/>
      <c r="K42" s="122"/>
      <c r="L42" s="129"/>
      <c r="M42" s="129"/>
      <c r="N42" s="126"/>
      <c r="O42" s="143"/>
      <c r="P42" s="143"/>
      <c r="Q42" s="138"/>
    </row>
    <row r="43" spans="1:17" ht="16.5" thickTop="1" thickBot="1">
      <c r="A43" s="239"/>
      <c r="B43" s="199"/>
      <c r="C43" s="219"/>
      <c r="D43" s="16" t="s">
        <v>24</v>
      </c>
      <c r="E43" s="20">
        <v>1527.3759669999999</v>
      </c>
      <c r="F43" s="28">
        <f t="shared" si="1"/>
        <v>31.820332645833332</v>
      </c>
      <c r="G43" s="29">
        <f t="shared" si="13"/>
        <v>1.3258471935763889</v>
      </c>
      <c r="H43" s="24">
        <f t="shared" si="2"/>
        <v>2.2097453226273149E-2</v>
      </c>
      <c r="I43" s="252"/>
      <c r="J43" s="122"/>
      <c r="K43" s="122"/>
      <c r="L43" s="129"/>
      <c r="M43" s="129"/>
      <c r="N43" s="126"/>
      <c r="O43" s="143"/>
      <c r="P43" s="143"/>
      <c r="Q43" s="138"/>
    </row>
    <row r="44" spans="1:17" ht="15" customHeight="1" thickTop="1" thickBot="1">
      <c r="A44" s="239" t="s">
        <v>32</v>
      </c>
      <c r="B44" s="197" t="s">
        <v>46</v>
      </c>
      <c r="C44" s="223" t="s">
        <v>38</v>
      </c>
      <c r="D44" s="36" t="s">
        <v>29</v>
      </c>
      <c r="E44" s="30">
        <v>371.65383800000001</v>
      </c>
      <c r="F44" s="31">
        <f t="shared" si="1"/>
        <v>7.7427882916666668</v>
      </c>
      <c r="G44" s="32">
        <f t="shared" si="13"/>
        <v>0.32261617881944443</v>
      </c>
      <c r="H44" s="25">
        <f t="shared" si="2"/>
        <v>5.376936313657407E-3</v>
      </c>
      <c r="I44" s="180" t="s">
        <v>117</v>
      </c>
      <c r="J44" s="122" t="s">
        <v>104</v>
      </c>
      <c r="K44" s="122" t="s">
        <v>104</v>
      </c>
      <c r="L44" s="129">
        <v>0.1</v>
      </c>
      <c r="M44" s="129" t="s">
        <v>100</v>
      </c>
      <c r="N44" s="126" t="s">
        <v>104</v>
      </c>
      <c r="O44" s="143">
        <f>(I46/10)+I46</f>
        <v>49742.653083545039</v>
      </c>
      <c r="P44" s="143">
        <f>O44/5*4</f>
        <v>39794.12246683603</v>
      </c>
      <c r="Q44" s="138">
        <f t="shared" ref="Q44" si="17">P44*0.2</f>
        <v>7958.8244933672067</v>
      </c>
    </row>
    <row r="45" spans="1:17" ht="16.5" thickTop="1" thickBot="1">
      <c r="A45" s="239"/>
      <c r="B45" s="198"/>
      <c r="C45" s="214"/>
      <c r="D45" s="16" t="s">
        <v>90</v>
      </c>
      <c r="E45" s="20">
        <v>415.06912299999999</v>
      </c>
      <c r="F45" s="28">
        <f t="shared" si="1"/>
        <v>8.6472733958333325</v>
      </c>
      <c r="G45" s="29">
        <f t="shared" si="13"/>
        <v>0.36030305815972219</v>
      </c>
      <c r="H45" s="24">
        <f t="shared" si="2"/>
        <v>6.0050509693287029E-3</v>
      </c>
      <c r="I45" s="181"/>
      <c r="J45" s="122"/>
      <c r="K45" s="122"/>
      <c r="L45" s="129"/>
      <c r="M45" s="129"/>
      <c r="N45" s="126"/>
      <c r="O45" s="143"/>
      <c r="P45" s="143"/>
      <c r="Q45" s="138"/>
    </row>
    <row r="46" spans="1:17" ht="16.5" thickTop="1" thickBot="1">
      <c r="A46" s="239"/>
      <c r="B46" s="199"/>
      <c r="C46" s="219"/>
      <c r="D46" s="36" t="s">
        <v>33</v>
      </c>
      <c r="E46" s="20">
        <v>1485.0042739999999</v>
      </c>
      <c r="F46" s="28">
        <f t="shared" si="1"/>
        <v>30.937589041666666</v>
      </c>
      <c r="G46" s="29">
        <f t="shared" si="13"/>
        <v>1.2890662100694443</v>
      </c>
      <c r="H46" s="24">
        <f t="shared" si="2"/>
        <v>2.148443683449074E-2</v>
      </c>
      <c r="I46" s="57">
        <f>I41*1.2</f>
        <v>45220.593712313675</v>
      </c>
      <c r="J46" s="122"/>
      <c r="K46" s="122"/>
      <c r="L46" s="129"/>
      <c r="M46" s="129"/>
      <c r="N46" s="126"/>
      <c r="O46" s="143"/>
      <c r="P46" s="143"/>
      <c r="Q46" s="138"/>
    </row>
    <row r="47" spans="1:17" ht="15.75" thickTop="1">
      <c r="A47" s="238" t="s">
        <v>23</v>
      </c>
      <c r="B47" s="197" t="s">
        <v>46</v>
      </c>
      <c r="C47" s="233" t="s">
        <v>37</v>
      </c>
      <c r="D47" s="37" t="s">
        <v>22</v>
      </c>
      <c r="E47" s="33">
        <v>710.82792700000005</v>
      </c>
      <c r="F47" s="34">
        <f t="shared" si="1"/>
        <v>14.808915145833334</v>
      </c>
      <c r="G47" s="35">
        <f t="shared" si="13"/>
        <v>0.61703813107638894</v>
      </c>
      <c r="H47" s="26">
        <f t="shared" si="2"/>
        <v>1.0283968851273148E-2</v>
      </c>
      <c r="I47" s="231">
        <f>'Count Number (Actual)'!L25</f>
        <v>34930</v>
      </c>
      <c r="J47" s="182">
        <f>I47/20*32</f>
        <v>55888</v>
      </c>
      <c r="K47" s="127">
        <f>SUM(I47:J49)</f>
        <v>90818</v>
      </c>
      <c r="L47" s="145">
        <v>0.75</v>
      </c>
      <c r="M47" s="169" t="s">
        <v>101</v>
      </c>
      <c r="N47" s="127">
        <f>J47*L47</f>
        <v>41916</v>
      </c>
      <c r="O47" s="113">
        <f>I47+N47</f>
        <v>76846</v>
      </c>
      <c r="P47" s="141">
        <f>O47/5*4</f>
        <v>61476.800000000003</v>
      </c>
      <c r="Q47" s="139">
        <f t="shared" ref="Q47" si="18">P47*0.2</f>
        <v>12295.36</v>
      </c>
    </row>
    <row r="48" spans="1:17">
      <c r="A48" s="238"/>
      <c r="B48" s="198"/>
      <c r="C48" s="217"/>
      <c r="D48" s="16" t="s">
        <v>24</v>
      </c>
      <c r="E48" s="20">
        <v>1142.8096029999999</v>
      </c>
      <c r="F48" s="28">
        <f t="shared" si="1"/>
        <v>23.808533395833333</v>
      </c>
      <c r="G48" s="29">
        <f t="shared" si="13"/>
        <v>0.99202222482638891</v>
      </c>
      <c r="H48" s="24">
        <f t="shared" si="2"/>
        <v>1.6533703747106481E-2</v>
      </c>
      <c r="I48" s="186"/>
      <c r="J48" s="114"/>
      <c r="K48" s="124"/>
      <c r="L48" s="145"/>
      <c r="M48" s="170"/>
      <c r="N48" s="124"/>
      <c r="O48" s="114"/>
      <c r="P48" s="141"/>
      <c r="Q48" s="139"/>
    </row>
    <row r="49" spans="1:17">
      <c r="A49" s="238"/>
      <c r="B49" s="199"/>
      <c r="C49" s="218"/>
      <c r="D49" s="36" t="s">
        <v>60</v>
      </c>
      <c r="E49" s="30">
        <v>1243.8424299999999</v>
      </c>
      <c r="F49" s="31">
        <f t="shared" si="1"/>
        <v>25.913383958333331</v>
      </c>
      <c r="G49" s="32">
        <f t="shared" si="13"/>
        <v>1.079724331597222</v>
      </c>
      <c r="H49" s="25">
        <f t="shared" si="2"/>
        <v>1.7995405526620368E-2</v>
      </c>
      <c r="I49" s="187"/>
      <c r="J49" s="168"/>
      <c r="K49" s="128"/>
      <c r="L49" s="145"/>
      <c r="M49" s="171"/>
      <c r="N49" s="128"/>
      <c r="O49" s="168"/>
      <c r="P49" s="141"/>
      <c r="Q49" s="139"/>
    </row>
    <row r="50" spans="1:17" ht="15" customHeight="1">
      <c r="A50" s="238" t="s">
        <v>24</v>
      </c>
      <c r="B50" s="197" t="s">
        <v>46</v>
      </c>
      <c r="C50" s="216" t="s">
        <v>37</v>
      </c>
      <c r="D50" s="16" t="s">
        <v>89</v>
      </c>
      <c r="E50" s="20">
        <v>451.159986</v>
      </c>
      <c r="F50" s="28">
        <f t="shared" si="1"/>
        <v>9.3991663750000001</v>
      </c>
      <c r="G50" s="29">
        <f t="shared" si="13"/>
        <v>0.39163193229166665</v>
      </c>
      <c r="H50" s="24">
        <f t="shared" si="2"/>
        <v>6.5271988715277776E-3</v>
      </c>
      <c r="I50" s="178" t="s">
        <v>98</v>
      </c>
      <c r="J50" s="182">
        <f>I52/20*32</f>
        <v>258814.4</v>
      </c>
      <c r="K50" s="123">
        <f t="shared" ref="K50" si="19">SUM(I50:J52)</f>
        <v>420573.4</v>
      </c>
      <c r="L50" s="145">
        <v>0.75</v>
      </c>
      <c r="M50" s="169" t="s">
        <v>101</v>
      </c>
      <c r="N50" s="127">
        <f>J50*L50</f>
        <v>194110.8</v>
      </c>
      <c r="O50" s="113">
        <f>I52+N50</f>
        <v>355869.8</v>
      </c>
      <c r="P50" s="141">
        <f>O50/5*4</f>
        <v>284695.83999999997</v>
      </c>
      <c r="Q50" s="139">
        <f t="shared" ref="Q50" si="20">P50*0.2</f>
        <v>56939.167999999998</v>
      </c>
    </row>
    <row r="51" spans="1:17">
      <c r="A51" s="238"/>
      <c r="B51" s="198"/>
      <c r="C51" s="217"/>
      <c r="D51" s="37" t="s">
        <v>22</v>
      </c>
      <c r="E51" s="33">
        <v>461.71802000000002</v>
      </c>
      <c r="F51" s="34">
        <f t="shared" si="1"/>
        <v>9.6191254166666678</v>
      </c>
      <c r="G51" s="35">
        <f t="shared" si="13"/>
        <v>0.40079689236111116</v>
      </c>
      <c r="H51" s="26">
        <f t="shared" si="2"/>
        <v>6.6799482060185189E-3</v>
      </c>
      <c r="I51" s="179"/>
      <c r="J51" s="114"/>
      <c r="K51" s="124"/>
      <c r="L51" s="145"/>
      <c r="M51" s="170"/>
      <c r="N51" s="124"/>
      <c r="O51" s="114"/>
      <c r="P51" s="141"/>
      <c r="Q51" s="139"/>
    </row>
    <row r="52" spans="1:17">
      <c r="A52" s="238"/>
      <c r="B52" s="199"/>
      <c r="C52" s="218"/>
      <c r="D52" s="16" t="s">
        <v>27</v>
      </c>
      <c r="E52" s="20">
        <v>466.39488299999999</v>
      </c>
      <c r="F52" s="28">
        <f t="shared" si="1"/>
        <v>9.7165600624999993</v>
      </c>
      <c r="G52" s="29">
        <f t="shared" si="13"/>
        <v>0.4048566692708333</v>
      </c>
      <c r="H52" s="24">
        <f t="shared" si="2"/>
        <v>6.7476111545138884E-3</v>
      </c>
      <c r="I52" s="58">
        <f>I53</f>
        <v>161759</v>
      </c>
      <c r="J52" s="168"/>
      <c r="K52" s="128"/>
      <c r="L52" s="145"/>
      <c r="M52" s="171"/>
      <c r="N52" s="128"/>
      <c r="O52" s="168"/>
      <c r="P52" s="141"/>
      <c r="Q52" s="139"/>
    </row>
    <row r="53" spans="1:17">
      <c r="A53" s="238" t="s">
        <v>89</v>
      </c>
      <c r="B53" s="197" t="s">
        <v>46</v>
      </c>
      <c r="C53" s="216" t="s">
        <v>37</v>
      </c>
      <c r="D53" s="36" t="s">
        <v>60</v>
      </c>
      <c r="E53" s="30">
        <v>375.60358200000002</v>
      </c>
      <c r="F53" s="31">
        <f t="shared" si="1"/>
        <v>7.8250746250000001</v>
      </c>
      <c r="G53" s="32">
        <f t="shared" si="13"/>
        <v>0.32604477604166665</v>
      </c>
      <c r="H53" s="25">
        <f t="shared" si="2"/>
        <v>5.4340796006944444E-3</v>
      </c>
      <c r="I53" s="185">
        <f>'Count Number (Actual)'!M25</f>
        <v>161759</v>
      </c>
      <c r="J53" s="182">
        <f t="shared" ref="J53" si="21">I53/20*32</f>
        <v>258814.4</v>
      </c>
      <c r="K53" s="123">
        <f t="shared" ref="K53" si="22">SUM(I53:J55)</f>
        <v>420573.4</v>
      </c>
      <c r="L53" s="145">
        <v>0.5</v>
      </c>
      <c r="M53" s="169" t="s">
        <v>101</v>
      </c>
      <c r="N53" s="127">
        <f>J53*L53</f>
        <v>129407.2</v>
      </c>
      <c r="O53" s="113">
        <f>I53+N53</f>
        <v>291166.2</v>
      </c>
      <c r="P53" s="141">
        <f>O53/5*4</f>
        <v>232932.96000000002</v>
      </c>
      <c r="Q53" s="139">
        <f t="shared" ref="Q53" si="23">P53*0.2</f>
        <v>46586.592000000004</v>
      </c>
    </row>
    <row r="54" spans="1:17">
      <c r="A54" s="238"/>
      <c r="B54" s="198"/>
      <c r="C54" s="217"/>
      <c r="D54" s="16" t="s">
        <v>24</v>
      </c>
      <c r="E54" s="20">
        <v>451.159986</v>
      </c>
      <c r="F54" s="28">
        <f t="shared" si="1"/>
        <v>9.3991663750000001</v>
      </c>
      <c r="G54" s="29">
        <f t="shared" si="13"/>
        <v>0.39163193229166665</v>
      </c>
      <c r="H54" s="24">
        <f t="shared" si="2"/>
        <v>6.5271988715277776E-3</v>
      </c>
      <c r="I54" s="186"/>
      <c r="J54" s="114"/>
      <c r="K54" s="124"/>
      <c r="L54" s="145"/>
      <c r="M54" s="170"/>
      <c r="N54" s="124"/>
      <c r="O54" s="114"/>
      <c r="P54" s="141"/>
      <c r="Q54" s="139"/>
    </row>
    <row r="55" spans="1:17">
      <c r="A55" s="238"/>
      <c r="B55" s="199"/>
      <c r="C55" s="218"/>
      <c r="D55" s="16" t="s">
        <v>27</v>
      </c>
      <c r="E55" s="20">
        <v>507.787733</v>
      </c>
      <c r="F55" s="28">
        <f t="shared" si="1"/>
        <v>10.578911104166666</v>
      </c>
      <c r="G55" s="29">
        <f t="shared" si="13"/>
        <v>0.44078796267361109</v>
      </c>
      <c r="H55" s="24">
        <f t="shared" si="2"/>
        <v>7.3464660445601848E-3</v>
      </c>
      <c r="I55" s="187"/>
      <c r="J55" s="168"/>
      <c r="K55" s="128"/>
      <c r="L55" s="145"/>
      <c r="M55" s="171"/>
      <c r="N55" s="128"/>
      <c r="O55" s="168"/>
      <c r="P55" s="141"/>
      <c r="Q55" s="139"/>
    </row>
    <row r="56" spans="1:17">
      <c r="A56" s="238" t="s">
        <v>9</v>
      </c>
      <c r="B56" s="197" t="s">
        <v>44</v>
      </c>
      <c r="C56" s="216" t="s">
        <v>37</v>
      </c>
      <c r="D56" s="16" t="s">
        <v>7</v>
      </c>
      <c r="E56" s="20">
        <v>389.69137699999999</v>
      </c>
      <c r="F56" s="28">
        <f t="shared" si="1"/>
        <v>8.1185703541666658</v>
      </c>
      <c r="G56" s="29">
        <f t="shared" si="13"/>
        <v>0.33827376475694443</v>
      </c>
      <c r="H56" s="24">
        <f t="shared" si="2"/>
        <v>5.6378960792824069E-3</v>
      </c>
      <c r="I56" s="185">
        <v>133982</v>
      </c>
      <c r="J56" s="182">
        <f t="shared" ref="J56" si="24">I56/20*32</f>
        <v>214371.20000000001</v>
      </c>
      <c r="K56" s="123">
        <f t="shared" ref="K56" si="25">SUM(I56:J58)</f>
        <v>348353.2</v>
      </c>
      <c r="L56" s="145">
        <v>0.5</v>
      </c>
      <c r="M56" s="169" t="s">
        <v>101</v>
      </c>
      <c r="N56" s="127">
        <f>J56*L56</f>
        <v>107185.60000000001</v>
      </c>
      <c r="O56" s="113">
        <f>I56+N56</f>
        <v>241167.6</v>
      </c>
      <c r="P56" s="141">
        <f>O56/5*4</f>
        <v>192934.08000000002</v>
      </c>
      <c r="Q56" s="139">
        <f t="shared" ref="Q56" si="26">P56*0.2</f>
        <v>38586.816000000006</v>
      </c>
    </row>
    <row r="57" spans="1:17">
      <c r="A57" s="238"/>
      <c r="B57" s="198"/>
      <c r="C57" s="217"/>
      <c r="D57" s="16" t="s">
        <v>8</v>
      </c>
      <c r="E57" s="20">
        <v>556.75664500000005</v>
      </c>
      <c r="F57" s="28">
        <f t="shared" si="1"/>
        <v>11.599096770833334</v>
      </c>
      <c r="G57" s="29">
        <f t="shared" si="13"/>
        <v>0.48329569878472228</v>
      </c>
      <c r="H57" s="24">
        <f t="shared" si="2"/>
        <v>8.0549283130787047E-3</v>
      </c>
      <c r="I57" s="186"/>
      <c r="J57" s="114"/>
      <c r="K57" s="124"/>
      <c r="L57" s="145"/>
      <c r="M57" s="170"/>
      <c r="N57" s="124"/>
      <c r="O57" s="114"/>
      <c r="P57" s="141"/>
      <c r="Q57" s="139"/>
    </row>
    <row r="58" spans="1:17" ht="15.75" thickBot="1">
      <c r="A58" s="238"/>
      <c r="B58" s="199"/>
      <c r="C58" s="241"/>
      <c r="D58" s="36" t="s">
        <v>10</v>
      </c>
      <c r="E58" s="30">
        <v>819.458124</v>
      </c>
      <c r="F58" s="31">
        <f t="shared" si="1"/>
        <v>17.072044250000001</v>
      </c>
      <c r="G58" s="32">
        <f t="shared" si="13"/>
        <v>0.71133517708333338</v>
      </c>
      <c r="H58" s="25">
        <f t="shared" si="2"/>
        <v>1.1855586284722223E-2</v>
      </c>
      <c r="I58" s="232"/>
      <c r="J58" s="168"/>
      <c r="K58" s="128"/>
      <c r="L58" s="145"/>
      <c r="M58" s="171"/>
      <c r="N58" s="128"/>
      <c r="O58" s="168"/>
      <c r="P58" s="141"/>
      <c r="Q58" s="139"/>
    </row>
    <row r="59" spans="1:17" ht="16.5" thickTop="1" thickBot="1">
      <c r="A59" s="239" t="s">
        <v>34</v>
      </c>
      <c r="B59" s="197" t="s">
        <v>45</v>
      </c>
      <c r="C59" s="223" t="s">
        <v>38</v>
      </c>
      <c r="D59" s="16" t="s">
        <v>87</v>
      </c>
      <c r="E59" s="20">
        <v>264.54301800000002</v>
      </c>
      <c r="F59" s="28">
        <f t="shared" si="1"/>
        <v>5.5113128750000007</v>
      </c>
      <c r="G59" s="29">
        <f t="shared" si="13"/>
        <v>0.22963803645833336</v>
      </c>
      <c r="H59" s="24">
        <f t="shared" si="2"/>
        <v>3.8273006076388894E-3</v>
      </c>
      <c r="I59" s="180" t="s">
        <v>31</v>
      </c>
      <c r="J59" s="122" t="s">
        <v>104</v>
      </c>
      <c r="K59" s="122" t="s">
        <v>104</v>
      </c>
      <c r="L59" s="129">
        <v>0.1</v>
      </c>
      <c r="M59" s="129" t="s">
        <v>100</v>
      </c>
      <c r="N59" s="54"/>
      <c r="O59" s="143">
        <f>(I61/10)+I61</f>
        <v>41452.210902954204</v>
      </c>
      <c r="P59" s="143">
        <f>O59/5*4</f>
        <v>33161.768722363362</v>
      </c>
      <c r="Q59" s="138">
        <f t="shared" ref="Q59" si="27">P59*0.2</f>
        <v>6632.3537444726726</v>
      </c>
    </row>
    <row r="60" spans="1:17" ht="16.5" thickTop="1" thickBot="1">
      <c r="A60" s="239"/>
      <c r="B60" s="198"/>
      <c r="C60" s="214"/>
      <c r="D60" s="16" t="s">
        <v>15</v>
      </c>
      <c r="E60" s="20">
        <v>550.30117800000005</v>
      </c>
      <c r="F60" s="28">
        <f t="shared" si="1"/>
        <v>11.464607875</v>
      </c>
      <c r="G60" s="29">
        <f t="shared" si="13"/>
        <v>0.47769199479166669</v>
      </c>
      <c r="H60" s="24">
        <f t="shared" si="2"/>
        <v>7.9615332465277789E-3</v>
      </c>
      <c r="I60" s="181"/>
      <c r="J60" s="122"/>
      <c r="K60" s="122"/>
      <c r="L60" s="129"/>
      <c r="M60" s="129"/>
      <c r="N60" s="54" t="s">
        <v>104</v>
      </c>
      <c r="O60" s="143"/>
      <c r="P60" s="143"/>
      <c r="Q60" s="138"/>
    </row>
    <row r="61" spans="1:17" ht="16.5" thickTop="1" thickBot="1">
      <c r="A61" s="239"/>
      <c r="B61" s="199"/>
      <c r="C61" s="219"/>
      <c r="D61" s="36" t="s">
        <v>36</v>
      </c>
      <c r="E61" s="30">
        <v>669.24671799999999</v>
      </c>
      <c r="F61" s="31">
        <f t="shared" si="1"/>
        <v>13.942639958333332</v>
      </c>
      <c r="G61" s="32">
        <f t="shared" si="13"/>
        <v>0.58094333159722222</v>
      </c>
      <c r="H61" s="25">
        <f t="shared" si="2"/>
        <v>9.6823888599537038E-3</v>
      </c>
      <c r="I61" s="57">
        <f>I41</f>
        <v>37683.828093594733</v>
      </c>
      <c r="J61" s="122"/>
      <c r="K61" s="122"/>
      <c r="L61" s="129"/>
      <c r="M61" s="129"/>
      <c r="N61" s="54"/>
      <c r="O61" s="143"/>
      <c r="P61" s="143"/>
      <c r="Q61" s="138"/>
    </row>
    <row r="62" spans="1:17" ht="15.75" thickTop="1">
      <c r="A62" s="238" t="s">
        <v>87</v>
      </c>
      <c r="B62" s="197" t="s">
        <v>45</v>
      </c>
      <c r="C62" s="233" t="s">
        <v>37</v>
      </c>
      <c r="D62" s="36" t="s">
        <v>34</v>
      </c>
      <c r="E62" s="30">
        <v>264.54301800000002</v>
      </c>
      <c r="F62" s="31">
        <f t="shared" si="1"/>
        <v>5.5113128750000007</v>
      </c>
      <c r="G62" s="32">
        <f t="shared" si="13"/>
        <v>0.22963803645833336</v>
      </c>
      <c r="H62" s="25">
        <f t="shared" si="2"/>
        <v>3.8273006076388894E-3</v>
      </c>
      <c r="I62" s="231">
        <f>'Count Number (Actual)'!F25</f>
        <v>78462</v>
      </c>
      <c r="J62" s="182">
        <f>I62/20*32</f>
        <v>125539.2</v>
      </c>
      <c r="K62" s="124">
        <f>SUM(I62:J64)</f>
        <v>204001.2</v>
      </c>
      <c r="L62" s="145">
        <v>0.25</v>
      </c>
      <c r="M62" s="169" t="s">
        <v>101</v>
      </c>
      <c r="N62" s="124">
        <f>J62*L62</f>
        <v>31384.799999999999</v>
      </c>
      <c r="O62" s="113">
        <f>N62+I62</f>
        <v>109846.8</v>
      </c>
      <c r="P62" s="141">
        <f>O62/5*4</f>
        <v>87877.440000000002</v>
      </c>
      <c r="Q62" s="139">
        <f t="shared" ref="Q62" si="28">P62*0.2</f>
        <v>17575.488000000001</v>
      </c>
    </row>
    <row r="63" spans="1:17">
      <c r="A63" s="238"/>
      <c r="B63" s="198"/>
      <c r="C63" s="217"/>
      <c r="D63" s="36" t="s">
        <v>36</v>
      </c>
      <c r="E63" s="30">
        <v>392.01942400000001</v>
      </c>
      <c r="F63" s="31">
        <f t="shared" si="1"/>
        <v>8.1670713333333342</v>
      </c>
      <c r="G63" s="32">
        <f t="shared" si="13"/>
        <v>0.34029463888888895</v>
      </c>
      <c r="H63" s="25">
        <f t="shared" si="2"/>
        <v>5.6715773148148154E-3</v>
      </c>
      <c r="I63" s="186"/>
      <c r="J63" s="114"/>
      <c r="K63" s="124"/>
      <c r="L63" s="145"/>
      <c r="M63" s="170"/>
      <c r="N63" s="124"/>
      <c r="O63" s="114"/>
      <c r="P63" s="141"/>
      <c r="Q63" s="139"/>
    </row>
    <row r="64" spans="1:17" ht="15.75" thickBot="1">
      <c r="A64" s="238"/>
      <c r="B64" s="199"/>
      <c r="C64" s="218"/>
      <c r="D64" s="16" t="s">
        <v>15</v>
      </c>
      <c r="E64" s="20">
        <v>820.53069100000005</v>
      </c>
      <c r="F64" s="28">
        <f t="shared" si="1"/>
        <v>17.094389395833335</v>
      </c>
      <c r="G64" s="29">
        <f t="shared" si="13"/>
        <v>0.71226622482638902</v>
      </c>
      <c r="H64" s="24">
        <f t="shared" si="2"/>
        <v>1.1871103747106483E-2</v>
      </c>
      <c r="I64" s="187"/>
      <c r="J64" s="168"/>
      <c r="K64" s="128"/>
      <c r="L64" s="145"/>
      <c r="M64" s="171"/>
      <c r="N64" s="128"/>
      <c r="O64" s="168"/>
      <c r="P64" s="141"/>
      <c r="Q64" s="139"/>
    </row>
    <row r="65" spans="1:17" ht="16.5" customHeight="1" thickTop="1" thickBot="1">
      <c r="A65" s="239" t="s">
        <v>10</v>
      </c>
      <c r="B65" s="197" t="s">
        <v>44</v>
      </c>
      <c r="C65" s="213" t="s">
        <v>38</v>
      </c>
      <c r="D65" s="16" t="s">
        <v>9</v>
      </c>
      <c r="E65" s="20">
        <v>819.458124</v>
      </c>
      <c r="F65" s="28">
        <f t="shared" si="1"/>
        <v>17.072044250000001</v>
      </c>
      <c r="G65" s="29">
        <f t="shared" si="13"/>
        <v>0.71133517708333338</v>
      </c>
      <c r="H65" s="24">
        <f t="shared" si="2"/>
        <v>1.1855586284722223E-2</v>
      </c>
      <c r="I65" s="178" t="s">
        <v>120</v>
      </c>
      <c r="J65" s="122" t="s">
        <v>104</v>
      </c>
      <c r="K65" s="122" t="s">
        <v>104</v>
      </c>
      <c r="L65" s="129">
        <v>0.1</v>
      </c>
      <c r="M65" s="129" t="s">
        <v>100</v>
      </c>
      <c r="N65" s="256" t="s">
        <v>104</v>
      </c>
      <c r="O65" s="143">
        <f>(I67/10)+I67</f>
        <v>20726.105451477102</v>
      </c>
      <c r="P65" s="143">
        <f>O65/5*4</f>
        <v>16580.884361181681</v>
      </c>
      <c r="Q65" s="138">
        <f t="shared" ref="Q65" si="29">P65*0.2</f>
        <v>3316.1768722363363</v>
      </c>
    </row>
    <row r="66" spans="1:17" ht="16.5" thickTop="1" thickBot="1">
      <c r="A66" s="239"/>
      <c r="B66" s="198"/>
      <c r="C66" s="214"/>
      <c r="D66" s="16" t="s">
        <v>7</v>
      </c>
      <c r="E66" s="20">
        <v>885.31206699999996</v>
      </c>
      <c r="F66" s="28">
        <f t="shared" si="1"/>
        <v>18.444001395833332</v>
      </c>
      <c r="G66" s="29">
        <f t="shared" ref="G66:G93" si="30">F66/24</f>
        <v>0.76850005815972222</v>
      </c>
      <c r="H66" s="24">
        <f t="shared" si="2"/>
        <v>1.2808334302662037E-2</v>
      </c>
      <c r="I66" s="179"/>
      <c r="J66" s="122"/>
      <c r="K66" s="122"/>
      <c r="L66" s="129"/>
      <c r="M66" s="129"/>
      <c r="N66" s="254"/>
      <c r="O66" s="143"/>
      <c r="P66" s="143"/>
      <c r="Q66" s="138"/>
    </row>
    <row r="67" spans="1:17" ht="16.5" thickTop="1" thickBot="1">
      <c r="A67" s="239"/>
      <c r="B67" s="199"/>
      <c r="C67" s="219"/>
      <c r="D67" s="16" t="s">
        <v>8</v>
      </c>
      <c r="E67" s="20">
        <v>1246.5031389999999</v>
      </c>
      <c r="F67" s="28">
        <f t="shared" ref="F67:F91" si="31">E67/48</f>
        <v>25.968815395833332</v>
      </c>
      <c r="G67" s="29">
        <f t="shared" si="30"/>
        <v>1.0820339748263887</v>
      </c>
      <c r="H67" s="24">
        <f t="shared" ref="H67:H91" si="32">G67/60</f>
        <v>1.8033899580439813E-2</v>
      </c>
      <c r="I67" s="58">
        <f>I41-(I41*0.5)</f>
        <v>18841.914046797367</v>
      </c>
      <c r="J67" s="122"/>
      <c r="K67" s="122"/>
      <c r="L67" s="129"/>
      <c r="M67" s="129"/>
      <c r="N67" s="254"/>
      <c r="O67" s="143"/>
      <c r="P67" s="143"/>
      <c r="Q67" s="138"/>
    </row>
    <row r="68" spans="1:17" ht="16.5" thickTop="1" thickBot="1">
      <c r="A68" s="239" t="s">
        <v>19</v>
      </c>
      <c r="B68" s="197" t="s">
        <v>45</v>
      </c>
      <c r="C68" s="223" t="s">
        <v>38</v>
      </c>
      <c r="D68" s="16" t="s">
        <v>18</v>
      </c>
      <c r="E68" s="20">
        <v>388.53159599999998</v>
      </c>
      <c r="F68" s="28">
        <f t="shared" si="31"/>
        <v>8.094408249999999</v>
      </c>
      <c r="G68" s="29">
        <f t="shared" si="30"/>
        <v>0.33726701041666662</v>
      </c>
      <c r="H68" s="24">
        <f t="shared" si="32"/>
        <v>5.6211168402777768E-3</v>
      </c>
      <c r="I68" s="178" t="s">
        <v>144</v>
      </c>
      <c r="J68" s="122" t="s">
        <v>104</v>
      </c>
      <c r="K68" s="122" t="s">
        <v>104</v>
      </c>
      <c r="L68" s="129">
        <v>0.1</v>
      </c>
      <c r="M68" s="129" t="s">
        <v>100</v>
      </c>
      <c r="N68" s="254" t="s">
        <v>104</v>
      </c>
      <c r="O68" s="143">
        <f>(I70/10)+I70</f>
        <v>59371.840000000004</v>
      </c>
      <c r="P68" s="143">
        <f>O68/5*4</f>
        <v>47497.472000000002</v>
      </c>
      <c r="Q68" s="138">
        <f t="shared" ref="Q68" si="33">P68*0.2</f>
        <v>9499.4944000000014</v>
      </c>
    </row>
    <row r="69" spans="1:17" ht="16.5" thickTop="1" thickBot="1">
      <c r="A69" s="239"/>
      <c r="B69" s="198"/>
      <c r="C69" s="214"/>
      <c r="D69" s="16" t="s">
        <v>14</v>
      </c>
      <c r="E69" s="20">
        <v>440.89840099999998</v>
      </c>
      <c r="F69" s="28">
        <f t="shared" si="31"/>
        <v>9.1853833541666656</v>
      </c>
      <c r="G69" s="29">
        <f t="shared" si="30"/>
        <v>0.38272430642361105</v>
      </c>
      <c r="H69" s="24">
        <f t="shared" si="32"/>
        <v>6.3787384403935178E-3</v>
      </c>
      <c r="I69" s="179"/>
      <c r="J69" s="122"/>
      <c r="K69" s="122"/>
      <c r="L69" s="129"/>
      <c r="M69" s="129"/>
      <c r="N69" s="254"/>
      <c r="O69" s="143"/>
      <c r="P69" s="143"/>
      <c r="Q69" s="138"/>
    </row>
    <row r="70" spans="1:17" ht="16.5" thickTop="1" thickBot="1">
      <c r="A70" s="239"/>
      <c r="B70" s="199"/>
      <c r="C70" s="219"/>
      <c r="D70" s="16" t="s">
        <v>88</v>
      </c>
      <c r="E70" s="20">
        <v>535.73489400000005</v>
      </c>
      <c r="F70" s="28">
        <f t="shared" si="31"/>
        <v>11.161143625000001</v>
      </c>
      <c r="G70" s="29">
        <f t="shared" si="30"/>
        <v>0.46504765104166673</v>
      </c>
      <c r="H70" s="24">
        <f t="shared" si="32"/>
        <v>7.7507941840277792E-3</v>
      </c>
      <c r="I70" s="58">
        <f>I28-(I28*0.2)</f>
        <v>53974.400000000001</v>
      </c>
      <c r="J70" s="122"/>
      <c r="K70" s="122"/>
      <c r="L70" s="129"/>
      <c r="M70" s="129"/>
      <c r="N70" s="254"/>
      <c r="O70" s="143"/>
      <c r="P70" s="143"/>
      <c r="Q70" s="138"/>
    </row>
    <row r="71" spans="1:17" ht="16.5" thickTop="1" thickBot="1">
      <c r="A71" s="239" t="s">
        <v>20</v>
      </c>
      <c r="B71" s="197" t="s">
        <v>45</v>
      </c>
      <c r="C71" s="223" t="s">
        <v>38</v>
      </c>
      <c r="D71" s="16" t="s">
        <v>14</v>
      </c>
      <c r="E71" s="20">
        <v>260.55944</v>
      </c>
      <c r="F71" s="28">
        <f t="shared" si="31"/>
        <v>5.4283216666666663</v>
      </c>
      <c r="G71" s="29">
        <f t="shared" si="30"/>
        <v>0.22618006944444444</v>
      </c>
      <c r="H71" s="24">
        <f t="shared" si="32"/>
        <v>3.7696678240740742E-3</v>
      </c>
      <c r="I71" s="228">
        <f>'Count Number (Actual)'!G25</f>
        <v>95040.958452498482</v>
      </c>
      <c r="J71" s="122" t="s">
        <v>104</v>
      </c>
      <c r="K71" s="122" t="s">
        <v>104</v>
      </c>
      <c r="L71" s="129">
        <v>0.1</v>
      </c>
      <c r="M71" s="129" t="s">
        <v>100</v>
      </c>
      <c r="N71" s="254" t="s">
        <v>104</v>
      </c>
      <c r="O71" s="143">
        <f>(I71/10)+I71</f>
        <v>104545.05429774833</v>
      </c>
      <c r="P71" s="143">
        <f>O71/5*4</f>
        <v>83636.043438198656</v>
      </c>
      <c r="Q71" s="138">
        <f t="shared" ref="Q71" si="34">P71*0.2</f>
        <v>16727.208687639733</v>
      </c>
    </row>
    <row r="72" spans="1:17" ht="16.5" thickTop="1" thickBot="1">
      <c r="A72" s="239"/>
      <c r="B72" s="198"/>
      <c r="C72" s="214"/>
      <c r="D72" s="16" t="s">
        <v>15</v>
      </c>
      <c r="E72" s="20">
        <v>329.35188099999999</v>
      </c>
      <c r="F72" s="28">
        <f t="shared" si="31"/>
        <v>6.8614975208333329</v>
      </c>
      <c r="G72" s="29">
        <f t="shared" si="30"/>
        <v>0.28589573003472218</v>
      </c>
      <c r="H72" s="24">
        <f t="shared" si="32"/>
        <v>4.7649288339120365E-3</v>
      </c>
      <c r="I72" s="229"/>
      <c r="J72" s="122"/>
      <c r="K72" s="122"/>
      <c r="L72" s="129"/>
      <c r="M72" s="129"/>
      <c r="N72" s="254"/>
      <c r="O72" s="143"/>
      <c r="P72" s="143"/>
      <c r="Q72" s="138"/>
    </row>
    <row r="73" spans="1:17" ht="16.5" thickTop="1" thickBot="1">
      <c r="A73" s="239"/>
      <c r="B73" s="199"/>
      <c r="C73" s="234"/>
      <c r="D73" s="16" t="s">
        <v>16</v>
      </c>
      <c r="E73" s="20">
        <v>332.471879</v>
      </c>
      <c r="F73" s="28">
        <f t="shared" si="31"/>
        <v>6.9264974791666667</v>
      </c>
      <c r="G73" s="29">
        <f t="shared" si="30"/>
        <v>0.28860406163194446</v>
      </c>
      <c r="H73" s="24">
        <f t="shared" si="32"/>
        <v>4.8100676938657412E-3</v>
      </c>
      <c r="I73" s="230"/>
      <c r="J73" s="122"/>
      <c r="K73" s="122"/>
      <c r="L73" s="129"/>
      <c r="M73" s="129"/>
      <c r="N73" s="255"/>
      <c r="O73" s="143"/>
      <c r="P73" s="143"/>
      <c r="Q73" s="138"/>
    </row>
    <row r="74" spans="1:17" ht="15.75" thickTop="1">
      <c r="A74" s="238" t="s">
        <v>21</v>
      </c>
      <c r="B74" s="197" t="s">
        <v>46</v>
      </c>
      <c r="C74" s="216" t="s">
        <v>37</v>
      </c>
      <c r="D74" s="16" t="s">
        <v>27</v>
      </c>
      <c r="E74" s="20">
        <v>349.12515500000001</v>
      </c>
      <c r="F74" s="28">
        <f t="shared" si="31"/>
        <v>7.2734407291666665</v>
      </c>
      <c r="G74" s="29">
        <f t="shared" si="30"/>
        <v>0.30306003038194446</v>
      </c>
      <c r="H74" s="24">
        <f t="shared" si="32"/>
        <v>5.0510005063657409E-3</v>
      </c>
      <c r="I74" s="178" t="s">
        <v>9</v>
      </c>
      <c r="J74" s="116">
        <f>I76/20*32</f>
        <v>214371.20000000001</v>
      </c>
      <c r="K74" s="113">
        <f>SUM(I74:J76)</f>
        <v>348353.2</v>
      </c>
      <c r="L74" s="145">
        <v>0.5</v>
      </c>
      <c r="M74" s="169" t="s">
        <v>101</v>
      </c>
      <c r="N74" s="116">
        <f>J74*L74</f>
        <v>107185.60000000001</v>
      </c>
      <c r="O74" s="113">
        <f>J74*L74</f>
        <v>107185.60000000001</v>
      </c>
      <c r="P74" s="141">
        <f>O74/5*4</f>
        <v>85748.48000000001</v>
      </c>
      <c r="Q74" s="139">
        <f t="shared" ref="Q74" si="35">P74*0.2</f>
        <v>17149.696000000004</v>
      </c>
    </row>
    <row r="75" spans="1:17">
      <c r="A75" s="238"/>
      <c r="B75" s="198"/>
      <c r="C75" s="217"/>
      <c r="D75" s="16" t="s">
        <v>89</v>
      </c>
      <c r="E75" s="20">
        <v>778.22399499999995</v>
      </c>
      <c r="F75" s="28">
        <f t="shared" si="31"/>
        <v>16.212999895833331</v>
      </c>
      <c r="G75" s="29">
        <f t="shared" si="30"/>
        <v>0.67554166232638879</v>
      </c>
      <c r="H75" s="24">
        <f t="shared" si="32"/>
        <v>1.1259027705439814E-2</v>
      </c>
      <c r="I75" s="179"/>
      <c r="J75" s="117"/>
      <c r="K75" s="114"/>
      <c r="L75" s="145"/>
      <c r="M75" s="170"/>
      <c r="N75" s="117"/>
      <c r="O75" s="114"/>
      <c r="P75" s="141"/>
      <c r="Q75" s="139"/>
    </row>
    <row r="76" spans="1:17" ht="15.75" thickBot="1">
      <c r="A76" s="238"/>
      <c r="B76" s="199"/>
      <c r="C76" s="218"/>
      <c r="D76" s="16" t="s">
        <v>24</v>
      </c>
      <c r="E76" s="20">
        <v>831.16053899999997</v>
      </c>
      <c r="F76" s="28">
        <f t="shared" si="31"/>
        <v>17.315844562500001</v>
      </c>
      <c r="G76" s="29">
        <f t="shared" si="30"/>
        <v>0.72149352343750006</v>
      </c>
      <c r="H76" s="24">
        <f t="shared" si="32"/>
        <v>1.2024892057291669E-2</v>
      </c>
      <c r="I76" s="58">
        <f>I56</f>
        <v>133982</v>
      </c>
      <c r="J76" s="148"/>
      <c r="K76" s="115"/>
      <c r="L76" s="145"/>
      <c r="M76" s="171"/>
      <c r="N76" s="118"/>
      <c r="O76" s="168"/>
      <c r="P76" s="141"/>
      <c r="Q76" s="139"/>
    </row>
    <row r="77" spans="1:17" ht="16.5" customHeight="1" thickTop="1" thickBot="1">
      <c r="A77" s="188" t="s">
        <v>27</v>
      </c>
      <c r="B77" s="210" t="s">
        <v>46</v>
      </c>
      <c r="C77" s="221" t="s">
        <v>42</v>
      </c>
      <c r="D77" s="37" t="s">
        <v>21</v>
      </c>
      <c r="E77" s="33">
        <v>349.12515500000001</v>
      </c>
      <c r="F77" s="34">
        <f t="shared" si="31"/>
        <v>7.2734407291666665</v>
      </c>
      <c r="G77" s="35">
        <f t="shared" si="30"/>
        <v>0.30306003038194446</v>
      </c>
      <c r="H77" s="26">
        <f t="shared" si="32"/>
        <v>5.0510005063657409E-3</v>
      </c>
      <c r="I77" s="225">
        <v>0</v>
      </c>
      <c r="J77" s="122" t="s">
        <v>104</v>
      </c>
      <c r="K77" s="122" t="s">
        <v>104</v>
      </c>
      <c r="L77" s="162" t="s">
        <v>104</v>
      </c>
      <c r="M77" s="163" t="s">
        <v>104</v>
      </c>
      <c r="N77" s="119" t="s">
        <v>104</v>
      </c>
      <c r="O77" s="122" t="s">
        <v>104</v>
      </c>
      <c r="P77" s="122">
        <v>0</v>
      </c>
      <c r="Q77" s="136">
        <v>0</v>
      </c>
    </row>
    <row r="78" spans="1:17" ht="16.5" thickTop="1" thickBot="1">
      <c r="A78" s="188"/>
      <c r="B78" s="210"/>
      <c r="C78" s="221"/>
      <c r="D78" s="37" t="s">
        <v>24</v>
      </c>
      <c r="E78" s="33">
        <v>466.39488299999999</v>
      </c>
      <c r="F78" s="34">
        <f t="shared" si="31"/>
        <v>9.7165600624999993</v>
      </c>
      <c r="G78" s="35">
        <f t="shared" si="30"/>
        <v>0.4048566692708333</v>
      </c>
      <c r="H78" s="26">
        <f t="shared" si="32"/>
        <v>6.7476111545138884E-3</v>
      </c>
      <c r="I78" s="226"/>
      <c r="J78" s="122"/>
      <c r="K78" s="122"/>
      <c r="L78" s="163"/>
      <c r="M78" s="163"/>
      <c r="N78" s="120"/>
      <c r="O78" s="122"/>
      <c r="P78" s="122"/>
      <c r="Q78" s="136"/>
    </row>
    <row r="79" spans="1:17" ht="16.5" thickTop="1" thickBot="1">
      <c r="A79" s="188"/>
      <c r="B79" s="210"/>
      <c r="C79" s="221"/>
      <c r="D79" s="37" t="s">
        <v>89</v>
      </c>
      <c r="E79" s="33">
        <v>507.787733</v>
      </c>
      <c r="F79" s="34">
        <f t="shared" si="31"/>
        <v>10.578911104166666</v>
      </c>
      <c r="G79" s="35">
        <f t="shared" si="30"/>
        <v>0.44078796267361109</v>
      </c>
      <c r="H79" s="26">
        <f t="shared" si="32"/>
        <v>7.3464660445601848E-3</v>
      </c>
      <c r="I79" s="227"/>
      <c r="J79" s="122"/>
      <c r="K79" s="122"/>
      <c r="L79" s="164"/>
      <c r="M79" s="163"/>
      <c r="N79" s="121"/>
      <c r="O79" s="122"/>
      <c r="P79" s="122"/>
      <c r="Q79" s="136"/>
    </row>
    <row r="80" spans="1:17" ht="16.5" thickTop="1" thickBot="1">
      <c r="A80" s="238" t="s">
        <v>90</v>
      </c>
      <c r="B80" s="197" t="s">
        <v>46</v>
      </c>
      <c r="C80" s="216" t="s">
        <v>37</v>
      </c>
      <c r="D80" s="36" t="s">
        <v>32</v>
      </c>
      <c r="E80" s="30">
        <v>415.06912299999999</v>
      </c>
      <c r="F80" s="31">
        <f t="shared" si="31"/>
        <v>8.6472733958333325</v>
      </c>
      <c r="G80" s="32">
        <f t="shared" si="30"/>
        <v>0.36030305815972219</v>
      </c>
      <c r="H80" s="25">
        <f t="shared" si="32"/>
        <v>6.0050509693287029E-3</v>
      </c>
      <c r="I80" s="224">
        <v>0</v>
      </c>
      <c r="J80" s="165">
        <f>O80</f>
        <v>12832.05</v>
      </c>
      <c r="K80" s="49"/>
      <c r="L80" s="145">
        <v>0</v>
      </c>
      <c r="M80" s="169" t="s">
        <v>101</v>
      </c>
      <c r="N80" s="49"/>
      <c r="O80" s="165">
        <f>Q80*5</f>
        <v>12832.05</v>
      </c>
      <c r="P80" s="122"/>
      <c r="Q80" s="137">
        <v>2566.41</v>
      </c>
    </row>
    <row r="81" spans="1:17" ht="16.5" thickTop="1" thickBot="1">
      <c r="A81" s="238"/>
      <c r="B81" s="198"/>
      <c r="C81" s="217"/>
      <c r="D81" s="36" t="s">
        <v>29</v>
      </c>
      <c r="E81" s="30">
        <v>638.64031</v>
      </c>
      <c r="F81" s="31">
        <f t="shared" si="31"/>
        <v>13.305006458333333</v>
      </c>
      <c r="G81" s="32">
        <f t="shared" si="30"/>
        <v>0.55437526909722223</v>
      </c>
      <c r="H81" s="25">
        <f t="shared" si="32"/>
        <v>9.2395878182870376E-3</v>
      </c>
      <c r="I81" s="224"/>
      <c r="J81" s="166"/>
      <c r="K81" s="50"/>
      <c r="L81" s="145"/>
      <c r="M81" s="170"/>
      <c r="N81" s="50"/>
      <c r="O81" s="166"/>
      <c r="P81" s="122"/>
      <c r="Q81" s="137"/>
    </row>
    <row r="82" spans="1:17" ht="16.5" thickTop="1" thickBot="1">
      <c r="A82" s="238"/>
      <c r="B82" s="199"/>
      <c r="C82" s="218"/>
      <c r="D82" s="16" t="s">
        <v>23</v>
      </c>
      <c r="E82" s="20">
        <v>1307.5157119999999</v>
      </c>
      <c r="F82" s="28">
        <f>E82/48</f>
        <v>27.239910666666663</v>
      </c>
      <c r="G82" s="29">
        <f t="shared" si="30"/>
        <v>1.1349962777777776</v>
      </c>
      <c r="H82" s="24">
        <f t="shared" si="32"/>
        <v>1.8916604629629626E-2</v>
      </c>
      <c r="I82" s="224"/>
      <c r="J82" s="167"/>
      <c r="K82" s="51"/>
      <c r="L82" s="145"/>
      <c r="M82" s="171"/>
      <c r="N82" s="51"/>
      <c r="O82" s="167"/>
      <c r="P82" s="122"/>
      <c r="Q82" s="137"/>
    </row>
    <row r="83" spans="1:17" ht="16.5" customHeight="1" thickTop="1" thickBot="1">
      <c r="A83" s="239" t="s">
        <v>33</v>
      </c>
      <c r="B83" s="197" t="s">
        <v>46</v>
      </c>
      <c r="C83" s="213" t="s">
        <v>38</v>
      </c>
      <c r="D83" s="36" t="s">
        <v>32</v>
      </c>
      <c r="E83" s="30">
        <v>1485.0042739999999</v>
      </c>
      <c r="F83" s="31">
        <f t="shared" si="31"/>
        <v>30.937589041666666</v>
      </c>
      <c r="G83" s="32">
        <f t="shared" si="30"/>
        <v>1.2890662100694443</v>
      </c>
      <c r="H83" s="25">
        <f t="shared" si="32"/>
        <v>2.148443683449074E-2</v>
      </c>
      <c r="I83" s="178" t="s">
        <v>115</v>
      </c>
      <c r="J83" s="122" t="s">
        <v>104</v>
      </c>
      <c r="K83" s="122" t="s">
        <v>104</v>
      </c>
      <c r="L83" s="129">
        <v>0.1</v>
      </c>
      <c r="M83" s="129" t="s">
        <v>100</v>
      </c>
      <c r="N83" s="256" t="s">
        <v>104</v>
      </c>
      <c r="O83" s="143">
        <f>(I85/10)+I85</f>
        <v>20726.105451477102</v>
      </c>
      <c r="P83" s="143">
        <f>O83/5*4</f>
        <v>16580.884361181681</v>
      </c>
      <c r="Q83" s="138">
        <f t="shared" ref="Q83" si="36">P83*0.2</f>
        <v>3316.1768722363363</v>
      </c>
    </row>
    <row r="84" spans="1:17" ht="16.5" thickTop="1" thickBot="1">
      <c r="A84" s="239"/>
      <c r="B84" s="198"/>
      <c r="C84" s="214"/>
      <c r="D84" s="16" t="s">
        <v>90</v>
      </c>
      <c r="E84" s="20">
        <v>1608.8545469999999</v>
      </c>
      <c r="F84" s="28">
        <f t="shared" si="31"/>
        <v>33.517803062500001</v>
      </c>
      <c r="G84" s="29">
        <f t="shared" si="30"/>
        <v>1.3965751276041667</v>
      </c>
      <c r="H84" s="24">
        <f t="shared" si="32"/>
        <v>2.3276252126736112E-2</v>
      </c>
      <c r="I84" s="179"/>
      <c r="J84" s="122"/>
      <c r="K84" s="122"/>
      <c r="L84" s="129"/>
      <c r="M84" s="129"/>
      <c r="N84" s="254"/>
      <c r="O84" s="143"/>
      <c r="P84" s="143"/>
      <c r="Q84" s="138"/>
    </row>
    <row r="85" spans="1:17" ht="16.5" thickTop="1" thickBot="1">
      <c r="A85" s="239"/>
      <c r="B85" s="199"/>
      <c r="C85" s="219"/>
      <c r="D85" s="36" t="s">
        <v>29</v>
      </c>
      <c r="E85" s="30">
        <v>1837.149674</v>
      </c>
      <c r="F85" s="31">
        <f t="shared" si="31"/>
        <v>38.273951541666669</v>
      </c>
      <c r="G85" s="32">
        <f t="shared" si="30"/>
        <v>1.5947479809027778</v>
      </c>
      <c r="H85" s="25">
        <f t="shared" si="32"/>
        <v>2.6579133015046295E-2</v>
      </c>
      <c r="I85" s="58">
        <f>I41*0.5</f>
        <v>18841.914046797367</v>
      </c>
      <c r="J85" s="122"/>
      <c r="K85" s="122"/>
      <c r="L85" s="129"/>
      <c r="M85" s="129"/>
      <c r="N85" s="254"/>
      <c r="O85" s="143"/>
      <c r="P85" s="143"/>
      <c r="Q85" s="138"/>
    </row>
    <row r="86" spans="1:17" ht="16.5" thickTop="1" thickBot="1">
      <c r="A86" s="239" t="s">
        <v>36</v>
      </c>
      <c r="B86" s="197" t="s">
        <v>45</v>
      </c>
      <c r="C86" s="223" t="s">
        <v>38</v>
      </c>
      <c r="D86" s="16" t="s">
        <v>87</v>
      </c>
      <c r="E86" s="20">
        <v>392.01942400000001</v>
      </c>
      <c r="F86" s="28">
        <f t="shared" si="31"/>
        <v>8.1670713333333342</v>
      </c>
      <c r="G86" s="29">
        <f t="shared" si="30"/>
        <v>0.34029463888888895</v>
      </c>
      <c r="H86" s="24">
        <f t="shared" si="32"/>
        <v>5.6715773148148154E-3</v>
      </c>
      <c r="I86" s="178" t="s">
        <v>31</v>
      </c>
      <c r="J86" s="122" t="s">
        <v>104</v>
      </c>
      <c r="K86" s="122" t="s">
        <v>104</v>
      </c>
      <c r="L86" s="129">
        <v>0.1</v>
      </c>
      <c r="M86" s="129" t="s">
        <v>100</v>
      </c>
      <c r="N86" s="254" t="s">
        <v>104</v>
      </c>
      <c r="O86" s="143">
        <f>(I88/10)+I88</f>
        <v>41452.210902954204</v>
      </c>
      <c r="P86" s="143">
        <f>O86/5*4</f>
        <v>33161.768722363362</v>
      </c>
      <c r="Q86" s="138">
        <f t="shared" ref="Q86" si="37">P86*0.2</f>
        <v>6632.3537444726726</v>
      </c>
    </row>
    <row r="87" spans="1:17" ht="16.5" thickTop="1" thickBot="1">
      <c r="A87" s="239"/>
      <c r="B87" s="198"/>
      <c r="C87" s="214"/>
      <c r="D87" s="36" t="s">
        <v>34</v>
      </c>
      <c r="E87" s="30">
        <v>669.24671799999999</v>
      </c>
      <c r="F87" s="31">
        <f t="shared" si="31"/>
        <v>13.942639958333332</v>
      </c>
      <c r="G87" s="32">
        <f t="shared" si="30"/>
        <v>0.58094333159722222</v>
      </c>
      <c r="H87" s="25">
        <f t="shared" si="32"/>
        <v>9.6823888599537038E-3</v>
      </c>
      <c r="I87" s="179"/>
      <c r="J87" s="122"/>
      <c r="K87" s="122"/>
      <c r="L87" s="129"/>
      <c r="M87" s="129"/>
      <c r="N87" s="254"/>
      <c r="O87" s="143"/>
      <c r="P87" s="143"/>
      <c r="Q87" s="138"/>
    </row>
    <row r="88" spans="1:17" ht="16.5" thickTop="1" thickBot="1">
      <c r="A88" s="239"/>
      <c r="B88" s="199"/>
      <c r="C88" s="234"/>
      <c r="D88" s="16" t="s">
        <v>15</v>
      </c>
      <c r="E88" s="20">
        <v>1215.8079720000001</v>
      </c>
      <c r="F88" s="28">
        <f t="shared" si="31"/>
        <v>25.329332750000003</v>
      </c>
      <c r="G88" s="29">
        <f t="shared" si="30"/>
        <v>1.0553888645833334</v>
      </c>
      <c r="H88" s="24">
        <f t="shared" si="32"/>
        <v>1.7589814409722224E-2</v>
      </c>
      <c r="I88" s="58">
        <f>I41</f>
        <v>37683.828093594733</v>
      </c>
      <c r="J88" s="122"/>
      <c r="K88" s="122"/>
      <c r="L88" s="129"/>
      <c r="M88" s="129"/>
      <c r="N88" s="255"/>
      <c r="O88" s="143"/>
      <c r="P88" s="143"/>
      <c r="Q88" s="138"/>
    </row>
    <row r="89" spans="1:17" ht="15.75" customHeight="1" thickTop="1">
      <c r="A89" s="238" t="s">
        <v>88</v>
      </c>
      <c r="B89" s="197" t="s">
        <v>45</v>
      </c>
      <c r="C89" s="216" t="s">
        <v>37</v>
      </c>
      <c r="D89" s="16" t="s">
        <v>18</v>
      </c>
      <c r="E89" s="20">
        <v>287.269406</v>
      </c>
      <c r="F89" s="28">
        <f t="shared" si="31"/>
        <v>5.9847792916666664</v>
      </c>
      <c r="G89" s="29">
        <f t="shared" si="30"/>
        <v>0.24936580381944443</v>
      </c>
      <c r="H89" s="24">
        <f t="shared" si="32"/>
        <v>4.1560967303240735E-3</v>
      </c>
      <c r="I89" s="172" t="s">
        <v>66</v>
      </c>
      <c r="J89" s="113">
        <f>J80</f>
        <v>12832.05</v>
      </c>
      <c r="K89" s="123"/>
      <c r="L89" s="145">
        <v>0</v>
      </c>
      <c r="M89" s="169" t="s">
        <v>101</v>
      </c>
      <c r="N89" s="123"/>
      <c r="O89" s="113">
        <f>O80</f>
        <v>12832.05</v>
      </c>
      <c r="P89" s="141">
        <f>O89/5*4</f>
        <v>10265.64</v>
      </c>
      <c r="Q89" s="139">
        <f>Q80</f>
        <v>2566.41</v>
      </c>
    </row>
    <row r="90" spans="1:17">
      <c r="A90" s="238"/>
      <c r="B90" s="198"/>
      <c r="C90" s="217"/>
      <c r="D90" s="36" t="s">
        <v>19</v>
      </c>
      <c r="E90" s="30">
        <v>535.73489400000005</v>
      </c>
      <c r="F90" s="31">
        <f t="shared" si="31"/>
        <v>11.161143625000001</v>
      </c>
      <c r="G90" s="32">
        <f t="shared" si="30"/>
        <v>0.46504765104166673</v>
      </c>
      <c r="H90" s="25">
        <f t="shared" si="32"/>
        <v>7.7507941840277792E-3</v>
      </c>
      <c r="I90" s="173"/>
      <c r="J90" s="114"/>
      <c r="K90" s="124"/>
      <c r="L90" s="145"/>
      <c r="M90" s="170"/>
      <c r="N90" s="124"/>
      <c r="O90" s="114"/>
      <c r="P90" s="141"/>
      <c r="Q90" s="139"/>
    </row>
    <row r="91" spans="1:17" ht="15.75" thickBot="1">
      <c r="A91" s="240"/>
      <c r="B91" s="200"/>
      <c r="C91" s="242"/>
      <c r="D91" s="17" t="s">
        <v>14</v>
      </c>
      <c r="E91" s="21">
        <v>966.19172900000001</v>
      </c>
      <c r="F91" s="38">
        <f t="shared" si="31"/>
        <v>20.128994354166668</v>
      </c>
      <c r="G91" s="39">
        <f t="shared" si="30"/>
        <v>0.8387080980902778</v>
      </c>
      <c r="H91" s="27">
        <f t="shared" si="32"/>
        <v>1.3978468301504629E-2</v>
      </c>
      <c r="I91" s="48">
        <f>I80</f>
        <v>0</v>
      </c>
      <c r="J91" s="144"/>
      <c r="K91" s="125"/>
      <c r="L91" s="145"/>
      <c r="M91" s="196"/>
      <c r="N91" s="125"/>
      <c r="O91" s="144"/>
      <c r="P91" s="142"/>
      <c r="Q91" s="140"/>
    </row>
    <row r="92" spans="1:17">
      <c r="F92">
        <v>23.99</v>
      </c>
      <c r="G92" s="5">
        <f t="shared" si="30"/>
        <v>0.99958333333333327</v>
      </c>
      <c r="H92" s="10"/>
    </row>
    <row r="93" spans="1:17">
      <c r="F93">
        <v>24.02</v>
      </c>
      <c r="G93" s="5">
        <f t="shared" si="30"/>
        <v>1.0008333333333332</v>
      </c>
      <c r="H93" s="10"/>
    </row>
    <row r="94" spans="1:17">
      <c r="H94" s="5"/>
      <c r="I94" s="19"/>
      <c r="J94" s="19"/>
      <c r="K94" s="19"/>
      <c r="L94" s="19"/>
      <c r="M94" s="19"/>
      <c r="N94" s="19"/>
      <c r="O94" s="19"/>
      <c r="P94" s="19"/>
      <c r="Q94" s="19" t="e">
        <f>SUM(Q4:Q91)</f>
        <v>#REF!</v>
      </c>
    </row>
    <row r="95" spans="1:17">
      <c r="H95" s="5"/>
    </row>
  </sheetData>
  <autoFilter ref="A3:Q94">
    <filterColumn colId="11" showButton="0"/>
  </autoFilter>
  <mergeCells count="361">
    <mergeCell ref="K86:K88"/>
    <mergeCell ref="N71:N73"/>
    <mergeCell ref="N68:N70"/>
    <mergeCell ref="N65:N67"/>
    <mergeCell ref="N83:N85"/>
    <mergeCell ref="N86:N88"/>
    <mergeCell ref="L38:L40"/>
    <mergeCell ref="L41:L43"/>
    <mergeCell ref="K10:K12"/>
    <mergeCell ref="N10:N12"/>
    <mergeCell ref="K13:K15"/>
    <mergeCell ref="N13:N15"/>
    <mergeCell ref="K16:K18"/>
    <mergeCell ref="N16:N18"/>
    <mergeCell ref="M33:M34"/>
    <mergeCell ref="M35:M37"/>
    <mergeCell ref="M38:M40"/>
    <mergeCell ref="M86:M88"/>
    <mergeCell ref="M41:M43"/>
    <mergeCell ref="M44:M46"/>
    <mergeCell ref="K83:K85"/>
    <mergeCell ref="L62:L64"/>
    <mergeCell ref="L65:L67"/>
    <mergeCell ref="L35:L37"/>
    <mergeCell ref="B33:B34"/>
    <mergeCell ref="B35:B37"/>
    <mergeCell ref="B38:B40"/>
    <mergeCell ref="B41:B43"/>
    <mergeCell ref="J47:J49"/>
    <mergeCell ref="J50:J52"/>
    <mergeCell ref="J53:J55"/>
    <mergeCell ref="M47:M49"/>
    <mergeCell ref="A1:H1"/>
    <mergeCell ref="I1:Q1"/>
    <mergeCell ref="L2:M2"/>
    <mergeCell ref="N4:N6"/>
    <mergeCell ref="K4:K6"/>
    <mergeCell ref="K7:K9"/>
    <mergeCell ref="N7:N9"/>
    <mergeCell ref="A53:A55"/>
    <mergeCell ref="A50:A52"/>
    <mergeCell ref="A47:A49"/>
    <mergeCell ref="A44:A46"/>
    <mergeCell ref="A41:A43"/>
    <mergeCell ref="A38:A40"/>
    <mergeCell ref="I47:I49"/>
    <mergeCell ref="I41:I43"/>
    <mergeCell ref="I35:I37"/>
    <mergeCell ref="I38:I39"/>
    <mergeCell ref="I44:I45"/>
    <mergeCell ref="A89:A91"/>
    <mergeCell ref="A86:A88"/>
    <mergeCell ref="A83:A85"/>
    <mergeCell ref="A80:A82"/>
    <mergeCell ref="A77:A79"/>
    <mergeCell ref="A56:A58"/>
    <mergeCell ref="A74:A76"/>
    <mergeCell ref="A71:A73"/>
    <mergeCell ref="A68:A70"/>
    <mergeCell ref="A65:A67"/>
    <mergeCell ref="A62:A64"/>
    <mergeCell ref="A59:A61"/>
    <mergeCell ref="C56:C58"/>
    <mergeCell ref="C89:C91"/>
    <mergeCell ref="C86:C88"/>
    <mergeCell ref="C83:C85"/>
    <mergeCell ref="C68:C70"/>
    <mergeCell ref="B59:B61"/>
    <mergeCell ref="B62:B64"/>
    <mergeCell ref="B65:B67"/>
    <mergeCell ref="B68:B70"/>
    <mergeCell ref="B71:B73"/>
    <mergeCell ref="A4:A6"/>
    <mergeCell ref="A22:A24"/>
    <mergeCell ref="A19:A21"/>
    <mergeCell ref="A16:A18"/>
    <mergeCell ref="A13:A15"/>
    <mergeCell ref="A10:A12"/>
    <mergeCell ref="A7:A9"/>
    <mergeCell ref="A35:A37"/>
    <mergeCell ref="A33:A34"/>
    <mergeCell ref="A30:A32"/>
    <mergeCell ref="A28:A29"/>
    <mergeCell ref="A25:A27"/>
    <mergeCell ref="C33:C34"/>
    <mergeCell ref="C35:C37"/>
    <mergeCell ref="C38:C40"/>
    <mergeCell ref="C10:C12"/>
    <mergeCell ref="C7:C9"/>
    <mergeCell ref="I80:I82"/>
    <mergeCell ref="I77:I79"/>
    <mergeCell ref="I71:I73"/>
    <mergeCell ref="I62:I64"/>
    <mergeCell ref="I56:I58"/>
    <mergeCell ref="I53:I55"/>
    <mergeCell ref="C41:C43"/>
    <mergeCell ref="C44:C46"/>
    <mergeCell ref="C47:C49"/>
    <mergeCell ref="C50:C52"/>
    <mergeCell ref="C53:C55"/>
    <mergeCell ref="I74:I75"/>
    <mergeCell ref="C80:C82"/>
    <mergeCell ref="C71:C73"/>
    <mergeCell ref="C74:C76"/>
    <mergeCell ref="C77:C79"/>
    <mergeCell ref="C59:C61"/>
    <mergeCell ref="C62:C64"/>
    <mergeCell ref="C65:C67"/>
    <mergeCell ref="B4:B6"/>
    <mergeCell ref="B7:B9"/>
    <mergeCell ref="B10:B12"/>
    <mergeCell ref="B13:B15"/>
    <mergeCell ref="C30:C32"/>
    <mergeCell ref="C13:C15"/>
    <mergeCell ref="C16:C18"/>
    <mergeCell ref="C19:C21"/>
    <mergeCell ref="C22:C24"/>
    <mergeCell ref="C25:C27"/>
    <mergeCell ref="C28:C29"/>
    <mergeCell ref="B30:B32"/>
    <mergeCell ref="B16:B18"/>
    <mergeCell ref="B19:B21"/>
    <mergeCell ref="B22:B24"/>
    <mergeCell ref="B25:B27"/>
    <mergeCell ref="B28:B29"/>
    <mergeCell ref="C4:C6"/>
    <mergeCell ref="B44:B46"/>
    <mergeCell ref="B47:B49"/>
    <mergeCell ref="B50:B52"/>
    <mergeCell ref="B53:B55"/>
    <mergeCell ref="B56:B58"/>
    <mergeCell ref="B89:B91"/>
    <mergeCell ref="J4:J6"/>
    <mergeCell ref="J7:J9"/>
    <mergeCell ref="J10:J12"/>
    <mergeCell ref="J13:J15"/>
    <mergeCell ref="J16:J18"/>
    <mergeCell ref="J19:J21"/>
    <mergeCell ref="J22:J24"/>
    <mergeCell ref="J25:J27"/>
    <mergeCell ref="J28:J29"/>
    <mergeCell ref="J30:J32"/>
    <mergeCell ref="J33:J34"/>
    <mergeCell ref="J35:J37"/>
    <mergeCell ref="J38:J40"/>
    <mergeCell ref="J41:J43"/>
    <mergeCell ref="J44:J46"/>
    <mergeCell ref="B74:B76"/>
    <mergeCell ref="B77:B79"/>
    <mergeCell ref="B80:B82"/>
    <mergeCell ref="J77:J79"/>
    <mergeCell ref="J80:J82"/>
    <mergeCell ref="J83:J85"/>
    <mergeCell ref="B83:B85"/>
    <mergeCell ref="B86:B88"/>
    <mergeCell ref="J89:J91"/>
    <mergeCell ref="J62:J64"/>
    <mergeCell ref="J65:J67"/>
    <mergeCell ref="J68:J70"/>
    <mergeCell ref="J71:J73"/>
    <mergeCell ref="J74:J76"/>
    <mergeCell ref="M89:M91"/>
    <mergeCell ref="M71:M73"/>
    <mergeCell ref="M74:M76"/>
    <mergeCell ref="M77:M79"/>
    <mergeCell ref="M80:M82"/>
    <mergeCell ref="M83:M85"/>
    <mergeCell ref="M56:M58"/>
    <mergeCell ref="M59:M61"/>
    <mergeCell ref="M62:M64"/>
    <mergeCell ref="M65:M67"/>
    <mergeCell ref="M68:M70"/>
    <mergeCell ref="J56:J58"/>
    <mergeCell ref="I13:I14"/>
    <mergeCell ref="I16:I17"/>
    <mergeCell ref="L30:L32"/>
    <mergeCell ref="L33:L34"/>
    <mergeCell ref="L4:L6"/>
    <mergeCell ref="L7:L9"/>
    <mergeCell ref="L10:L12"/>
    <mergeCell ref="J86:J88"/>
    <mergeCell ref="J59:J61"/>
    <mergeCell ref="I4:I5"/>
    <mergeCell ref="I19:I21"/>
    <mergeCell ref="I10:I12"/>
    <mergeCell ref="I33:I34"/>
    <mergeCell ref="I28:I29"/>
    <mergeCell ref="I22:I24"/>
    <mergeCell ref="I25:I26"/>
    <mergeCell ref="I30:I31"/>
    <mergeCell ref="I83:I84"/>
    <mergeCell ref="I86:I87"/>
    <mergeCell ref="K59:K61"/>
    <mergeCell ref="K65:K67"/>
    <mergeCell ref="K68:K70"/>
    <mergeCell ref="K71:K73"/>
    <mergeCell ref="O71:O73"/>
    <mergeCell ref="O74:O76"/>
    <mergeCell ref="N47:N49"/>
    <mergeCell ref="N62:N64"/>
    <mergeCell ref="N33:N34"/>
    <mergeCell ref="I89:I90"/>
    <mergeCell ref="I7:I8"/>
    <mergeCell ref="O4:O6"/>
    <mergeCell ref="O10:O12"/>
    <mergeCell ref="O13:O15"/>
    <mergeCell ref="O16:O18"/>
    <mergeCell ref="O19:O21"/>
    <mergeCell ref="O22:O24"/>
    <mergeCell ref="O25:O27"/>
    <mergeCell ref="O28:O29"/>
    <mergeCell ref="O30:O32"/>
    <mergeCell ref="O33:O34"/>
    <mergeCell ref="O35:O37"/>
    <mergeCell ref="O38:O40"/>
    <mergeCell ref="I50:I51"/>
    <mergeCell ref="I59:I60"/>
    <mergeCell ref="I65:I66"/>
    <mergeCell ref="I68:I69"/>
    <mergeCell ref="M13:M15"/>
    <mergeCell ref="O47:O49"/>
    <mergeCell ref="O50:O52"/>
    <mergeCell ref="O53:O55"/>
    <mergeCell ref="M50:M52"/>
    <mergeCell ref="M53:M55"/>
    <mergeCell ref="M28:M29"/>
    <mergeCell ref="M30:M32"/>
    <mergeCell ref="O41:O43"/>
    <mergeCell ref="O44:O46"/>
    <mergeCell ref="P28:P29"/>
    <mergeCell ref="P30:P32"/>
    <mergeCell ref="P33:P34"/>
    <mergeCell ref="P35:P37"/>
    <mergeCell ref="P38:P40"/>
    <mergeCell ref="P41:P43"/>
    <mergeCell ref="L74:L76"/>
    <mergeCell ref="L77:L79"/>
    <mergeCell ref="L80:L82"/>
    <mergeCell ref="O77:O79"/>
    <mergeCell ref="O80:O82"/>
    <mergeCell ref="O56:O58"/>
    <mergeCell ref="O59:O61"/>
    <mergeCell ref="O62:O64"/>
    <mergeCell ref="O65:O67"/>
    <mergeCell ref="O68:O70"/>
    <mergeCell ref="L28:L29"/>
    <mergeCell ref="L68:L70"/>
    <mergeCell ref="L71:L73"/>
    <mergeCell ref="L44:L46"/>
    <mergeCell ref="L47:L49"/>
    <mergeCell ref="L50:L52"/>
    <mergeCell ref="L53:L55"/>
    <mergeCell ref="L56:L58"/>
    <mergeCell ref="L3:M3"/>
    <mergeCell ref="P4:P6"/>
    <mergeCell ref="P7:P9"/>
    <mergeCell ref="P10:P12"/>
    <mergeCell ref="P13:P15"/>
    <mergeCell ref="P16:P18"/>
    <mergeCell ref="P19:P21"/>
    <mergeCell ref="P22:P24"/>
    <mergeCell ref="P25:P27"/>
    <mergeCell ref="L13:L15"/>
    <mergeCell ref="L16:L18"/>
    <mergeCell ref="L19:L21"/>
    <mergeCell ref="L22:L24"/>
    <mergeCell ref="L25:L27"/>
    <mergeCell ref="M16:M18"/>
    <mergeCell ref="M19:M21"/>
    <mergeCell ref="M22:M24"/>
    <mergeCell ref="O7:O9"/>
    <mergeCell ref="M25:M27"/>
    <mergeCell ref="M10:M12"/>
    <mergeCell ref="M7:M9"/>
    <mergeCell ref="M4:M6"/>
    <mergeCell ref="Q30:Q32"/>
    <mergeCell ref="Q33:Q34"/>
    <mergeCell ref="Q35:Q37"/>
    <mergeCell ref="Q38:Q40"/>
    <mergeCell ref="Q41:Q43"/>
    <mergeCell ref="Q44:Q46"/>
    <mergeCell ref="P74:P76"/>
    <mergeCell ref="P77:P79"/>
    <mergeCell ref="P80:P82"/>
    <mergeCell ref="P59:P61"/>
    <mergeCell ref="P62:P64"/>
    <mergeCell ref="P65:P67"/>
    <mergeCell ref="P68:P70"/>
    <mergeCell ref="P71:P73"/>
    <mergeCell ref="P44:P46"/>
    <mergeCell ref="P47:P49"/>
    <mergeCell ref="P50:P52"/>
    <mergeCell ref="P53:P55"/>
    <mergeCell ref="P56:P58"/>
    <mergeCell ref="Q4:Q6"/>
    <mergeCell ref="Q7:Q9"/>
    <mergeCell ref="Q10:Q12"/>
    <mergeCell ref="Q13:Q15"/>
    <mergeCell ref="Q16:Q18"/>
    <mergeCell ref="Q19:Q21"/>
    <mergeCell ref="Q22:Q24"/>
    <mergeCell ref="Q25:Q27"/>
    <mergeCell ref="Q28:Q29"/>
    <mergeCell ref="K33:K34"/>
    <mergeCell ref="K62:K64"/>
    <mergeCell ref="Q77:Q79"/>
    <mergeCell ref="Q80:Q82"/>
    <mergeCell ref="Q83:Q85"/>
    <mergeCell ref="Q86:Q88"/>
    <mergeCell ref="Q89:Q91"/>
    <mergeCell ref="Q62:Q64"/>
    <mergeCell ref="Q65:Q67"/>
    <mergeCell ref="Q68:Q70"/>
    <mergeCell ref="Q71:Q73"/>
    <mergeCell ref="Q74:Q76"/>
    <mergeCell ref="Q47:Q49"/>
    <mergeCell ref="Q50:Q52"/>
    <mergeCell ref="Q53:Q55"/>
    <mergeCell ref="Q56:Q58"/>
    <mergeCell ref="Q59:Q61"/>
    <mergeCell ref="P89:P91"/>
    <mergeCell ref="P83:P85"/>
    <mergeCell ref="P86:P88"/>
    <mergeCell ref="O86:O88"/>
    <mergeCell ref="O89:O91"/>
    <mergeCell ref="O83:O85"/>
    <mergeCell ref="L89:L91"/>
    <mergeCell ref="K19:K21"/>
    <mergeCell ref="N19:N21"/>
    <mergeCell ref="K22:K24"/>
    <mergeCell ref="K25:K27"/>
    <mergeCell ref="K28:K29"/>
    <mergeCell ref="N22:N24"/>
    <mergeCell ref="N25:N27"/>
    <mergeCell ref="N28:N29"/>
    <mergeCell ref="K30:K32"/>
    <mergeCell ref="N30:N32"/>
    <mergeCell ref="K74:K76"/>
    <mergeCell ref="N74:N76"/>
    <mergeCell ref="N77:N79"/>
    <mergeCell ref="K77:K79"/>
    <mergeCell ref="K89:K91"/>
    <mergeCell ref="N89:N91"/>
    <mergeCell ref="K38:K40"/>
    <mergeCell ref="K35:K37"/>
    <mergeCell ref="N44:N46"/>
    <mergeCell ref="N41:N43"/>
    <mergeCell ref="N38:N40"/>
    <mergeCell ref="N35:N37"/>
    <mergeCell ref="K44:K46"/>
    <mergeCell ref="K41:K43"/>
    <mergeCell ref="N56:N58"/>
    <mergeCell ref="K56:K58"/>
    <mergeCell ref="N53:N55"/>
    <mergeCell ref="K53:K55"/>
    <mergeCell ref="N50:N52"/>
    <mergeCell ref="K50:K52"/>
    <mergeCell ref="K47:K49"/>
    <mergeCell ref="L83:L85"/>
    <mergeCell ref="L86:L88"/>
    <mergeCell ref="L59:L61"/>
  </mergeCells>
  <pageMargins left="0.70866141732283472" right="0.70866141732283472" top="0.74803149606299213" bottom="0.74803149606299213" header="0.31496062992125984" footer="0.31496062992125984"/>
  <pageSetup paperSize="8" scale="45" orientation="landscape" horizontalDpi="300" verticalDpi="3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5"/>
    <pageSetUpPr fitToPage="1"/>
  </sheetPr>
  <dimension ref="A1:O54"/>
  <sheetViews>
    <sheetView tabSelected="1" workbookViewId="0">
      <selection activeCell="B32" sqref="B32"/>
    </sheetView>
  </sheetViews>
  <sheetFormatPr defaultRowHeight="15"/>
  <cols>
    <col min="1" max="1" width="0.125" customWidth="1"/>
    <col min="2" max="2" width="5.375" customWidth="1"/>
    <col min="3" max="3" width="16.625" customWidth="1"/>
    <col min="4" max="4" width="12.625" bestFit="1" customWidth="1"/>
    <col min="5" max="5" width="16.375" bestFit="1" customWidth="1"/>
    <col min="6" max="6" width="16" customWidth="1"/>
    <col min="7" max="8" width="12.625" bestFit="1" customWidth="1"/>
    <col min="9" max="9" width="13.875" bestFit="1" customWidth="1"/>
    <col min="10" max="10" width="9.875" bestFit="1" customWidth="1"/>
    <col min="11" max="12" width="11.375" bestFit="1" customWidth="1"/>
    <col min="13" max="13" width="16.375" bestFit="1" customWidth="1"/>
    <col min="14" max="14" width="15.875" bestFit="1" customWidth="1"/>
    <col min="15" max="15" width="12.375" bestFit="1" customWidth="1"/>
  </cols>
  <sheetData>
    <row r="1" spans="2:14" ht="15.75" thickBot="1"/>
    <row r="2" spans="2:14" ht="34.5">
      <c r="C2" s="60" t="s">
        <v>121</v>
      </c>
      <c r="D2" s="61" t="s">
        <v>7</v>
      </c>
      <c r="E2" s="61" t="s">
        <v>9</v>
      </c>
      <c r="F2" s="61" t="s">
        <v>122</v>
      </c>
      <c r="G2" s="61" t="s">
        <v>97</v>
      </c>
      <c r="H2" s="61" t="s">
        <v>49</v>
      </c>
      <c r="I2" s="61" t="s">
        <v>18</v>
      </c>
      <c r="J2" s="67" t="s">
        <v>123</v>
      </c>
      <c r="K2" s="61" t="s">
        <v>31</v>
      </c>
      <c r="L2" s="61" t="s">
        <v>124</v>
      </c>
      <c r="M2" s="61" t="s">
        <v>125</v>
      </c>
      <c r="N2" s="61" t="s">
        <v>60</v>
      </c>
    </row>
    <row r="3" spans="2:14" ht="18" thickBot="1">
      <c r="C3" s="62"/>
      <c r="D3" s="61" t="s">
        <v>37</v>
      </c>
      <c r="E3" s="61" t="s">
        <v>37</v>
      </c>
      <c r="F3" s="61" t="s">
        <v>37</v>
      </c>
      <c r="G3" s="61" t="s">
        <v>38</v>
      </c>
      <c r="H3" s="61" t="s">
        <v>37</v>
      </c>
      <c r="I3" s="61" t="s">
        <v>37</v>
      </c>
      <c r="J3" s="68" t="s">
        <v>37</v>
      </c>
      <c r="K3" s="61" t="s">
        <v>38</v>
      </c>
      <c r="L3" s="61" t="s">
        <v>37</v>
      </c>
      <c r="M3" s="61" t="s">
        <v>37</v>
      </c>
      <c r="N3" s="61" t="s">
        <v>38</v>
      </c>
    </row>
    <row r="4" spans="2:14">
      <c r="B4">
        <v>1</v>
      </c>
      <c r="C4" s="63">
        <v>42485</v>
      </c>
      <c r="D4" s="18">
        <f>'[1]Bank Lane'!X5</f>
        <v>5962</v>
      </c>
      <c r="E4" s="18">
        <f>'[1]Brixham Harbour'!X5</f>
        <v>4567</v>
      </c>
      <c r="F4" s="18">
        <f>[1]Goodrington!X5</f>
        <v>1679</v>
      </c>
      <c r="G4" s="80">
        <v>8140.8214470047415</v>
      </c>
      <c r="H4" s="18">
        <f>'[1]Paignton Central'!X5</f>
        <v>13279</v>
      </c>
      <c r="I4" s="18">
        <f>'[1]Preston North PA '!X5</f>
        <v>1902</v>
      </c>
      <c r="J4" s="69"/>
      <c r="K4" s="80">
        <v>842.32964780105442</v>
      </c>
      <c r="L4" s="18">
        <f>'[1]Lymington Road TQ'!X6</f>
        <v>1303</v>
      </c>
      <c r="M4" s="18">
        <f>'[1]Seafront TQ'!AE14</f>
        <v>1824</v>
      </c>
      <c r="N4" s="18">
        <f>[1]Sheet10!X10</f>
        <v>1298</v>
      </c>
    </row>
    <row r="5" spans="2:14">
      <c r="B5">
        <v>2</v>
      </c>
      <c r="C5" s="63">
        <v>42492</v>
      </c>
      <c r="D5" s="18">
        <f>'[1]Bank Lane'!X6</f>
        <v>5677</v>
      </c>
      <c r="E5" s="18">
        <f>'[1]Brixham Harbour'!X6</f>
        <v>4437</v>
      </c>
      <c r="F5" s="18">
        <f>[1]Goodrington!X6</f>
        <v>2202</v>
      </c>
      <c r="G5" s="81">
        <v>2673.5539069498968</v>
      </c>
      <c r="H5" s="18">
        <f>'[1]Paignton Central'!X6</f>
        <v>4361</v>
      </c>
      <c r="I5" s="18">
        <f>'[1]Preston North PA '!X6</f>
        <v>2885</v>
      </c>
      <c r="J5" s="68"/>
      <c r="K5" s="81">
        <v>1104.7110687658856</v>
      </c>
      <c r="L5" s="18">
        <f>'[1]Lymington Road TQ'!X7</f>
        <v>1932</v>
      </c>
      <c r="M5" s="18">
        <f>'[1]Seafront TQ'!AE15</f>
        <v>3243</v>
      </c>
      <c r="N5" s="18">
        <f>[1]Sheet10!X11</f>
        <v>1507</v>
      </c>
    </row>
    <row r="6" spans="2:14">
      <c r="B6">
        <v>3</v>
      </c>
      <c r="C6" s="63">
        <v>42499</v>
      </c>
      <c r="D6" s="18">
        <f>'[1]Bank Lane'!X7</f>
        <v>5657</v>
      </c>
      <c r="E6" s="18">
        <f>'[1]Brixham Harbour'!X7</f>
        <v>4044</v>
      </c>
      <c r="F6" s="18">
        <f>[1]Goodrington!X7</f>
        <v>1950</v>
      </c>
      <c r="G6" s="81">
        <v>2135.9004383887732</v>
      </c>
      <c r="H6" s="18">
        <f>'[1]Paignton Central'!X7</f>
        <v>3484</v>
      </c>
      <c r="I6" s="18">
        <f>'[1]Preston North PA '!X7</f>
        <v>2634</v>
      </c>
      <c r="J6" s="68"/>
      <c r="K6" s="81">
        <v>978.28636879812757</v>
      </c>
      <c r="L6" s="18">
        <f>'[1]Lymington Road TQ'!X8</f>
        <v>1946</v>
      </c>
      <c r="M6" s="18">
        <f>'[1]Seafront TQ'!AE16</f>
        <v>2884</v>
      </c>
      <c r="N6" s="18">
        <f>[1]Sheet10!X12</f>
        <v>1561</v>
      </c>
    </row>
    <row r="7" spans="2:14">
      <c r="B7">
        <v>4</v>
      </c>
      <c r="C7" s="63">
        <v>42506</v>
      </c>
      <c r="D7" s="18">
        <f>'[1]Bank Lane'!X8</f>
        <v>5370</v>
      </c>
      <c r="E7" s="18">
        <f>'[1]Brixham Harbour'!X8</f>
        <v>3457</v>
      </c>
      <c r="F7" s="18">
        <f>[1]Goodrington!X8</f>
        <v>1478</v>
      </c>
      <c r="G7" s="81">
        <v>1641.1611577401682</v>
      </c>
      <c r="H7" s="18">
        <f>'[1]Paignton Central'!X8</f>
        <v>2677</v>
      </c>
      <c r="I7" s="18">
        <f>'[1]Preston North PA '!X8</f>
        <v>1993</v>
      </c>
      <c r="J7" s="68"/>
      <c r="K7" s="81">
        <v>741.49089901724744</v>
      </c>
      <c r="L7" s="18">
        <f>'[1]Lymington Road TQ'!X9</f>
        <v>1977</v>
      </c>
      <c r="M7" s="18">
        <f>'[1]Seafront TQ'!AE17</f>
        <v>2375</v>
      </c>
      <c r="N7" s="18">
        <f>[1]Sheet10!X13</f>
        <v>945</v>
      </c>
    </row>
    <row r="8" spans="2:14">
      <c r="B8">
        <v>5</v>
      </c>
      <c r="C8" s="63">
        <v>42513</v>
      </c>
      <c r="D8" s="18">
        <f>'[1]Bank Lane'!X9</f>
        <v>7051</v>
      </c>
      <c r="E8" s="18">
        <f>'[1]Brixham Harbour'!X9</f>
        <v>6545</v>
      </c>
      <c r="F8" s="18">
        <f>[1]Goodrington!X9</f>
        <v>3739</v>
      </c>
      <c r="G8" s="81">
        <v>4233.7911674836014</v>
      </c>
      <c r="H8" s="18">
        <f>'[1]Paignton Central'!X9</f>
        <v>6906</v>
      </c>
      <c r="I8" s="18">
        <f>'[1]Preston North PA '!X9</f>
        <v>3533</v>
      </c>
      <c r="J8" s="68"/>
      <c r="K8" s="81">
        <v>1875.8014015057429</v>
      </c>
      <c r="L8" s="18">
        <f>'[1]Lymington Road TQ'!X10</f>
        <v>1863</v>
      </c>
      <c r="M8" s="18">
        <f>'[1]Seafront TQ'!AE18</f>
        <v>5226</v>
      </c>
      <c r="N8" s="18">
        <f>[1]Sheet10!X14</f>
        <v>1871</v>
      </c>
    </row>
    <row r="9" spans="2:14">
      <c r="B9">
        <v>6</v>
      </c>
      <c r="C9" s="63">
        <v>42520</v>
      </c>
      <c r="D9" s="18">
        <f>'[1]Bank Lane'!X10</f>
        <v>7965</v>
      </c>
      <c r="E9" s="18">
        <f>'[1]Brixham Harbour'!X10</f>
        <v>7824</v>
      </c>
      <c r="F9" s="18">
        <f>[1]Goodrington!X10</f>
        <v>5518</v>
      </c>
      <c r="G9" s="81">
        <v>6945.9678435547648</v>
      </c>
      <c r="H9" s="18">
        <f>'[1]Paignton Central'!X10</f>
        <v>11330</v>
      </c>
      <c r="I9" s="18">
        <f>'[1]Preston North PA '!X10</f>
        <v>4111</v>
      </c>
      <c r="J9" s="68"/>
      <c r="K9" s="81">
        <v>2768.2995810400348</v>
      </c>
      <c r="L9" s="18">
        <f>'[1]Lymington Road TQ'!X11</f>
        <v>1683</v>
      </c>
      <c r="M9" s="18">
        <f>'[1]Seafront TQ'!AE19</f>
        <v>9988</v>
      </c>
      <c r="N9" s="18">
        <f>[1]Sheet10!X15</f>
        <v>3062</v>
      </c>
    </row>
    <row r="10" spans="2:14">
      <c r="B10">
        <v>7</v>
      </c>
      <c r="C10" s="63">
        <v>42527</v>
      </c>
      <c r="D10" s="18">
        <f>'[1]Bank Lane'!X11</f>
        <v>6705</v>
      </c>
      <c r="E10" s="18">
        <f>'[1]Brixham Harbour'!X11</f>
        <v>4719</v>
      </c>
      <c r="F10" s="18">
        <f>[1]Goodrington!X11</f>
        <v>2535</v>
      </c>
      <c r="G10" s="81">
        <v>7934.2202851973316</v>
      </c>
      <c r="H10" s="18">
        <f>'[1]Paignton Central'!X11</f>
        <v>12942</v>
      </c>
      <c r="I10" s="18">
        <f>'[1]Preston North PA '!X11</f>
        <v>4866</v>
      </c>
      <c r="J10" s="68"/>
      <c r="K10" s="81">
        <v>1271.7722794375659</v>
      </c>
      <c r="L10" s="18">
        <f>'[1]Lymington Road TQ'!X12</f>
        <v>1732</v>
      </c>
      <c r="M10" s="18">
        <f>'[1]Seafront TQ'!AE20</f>
        <v>7111</v>
      </c>
      <c r="N10" s="18">
        <f>[1]Sheet10!X16</f>
        <v>1828</v>
      </c>
    </row>
    <row r="11" spans="2:14">
      <c r="B11">
        <v>8</v>
      </c>
      <c r="C11" s="63">
        <v>42534</v>
      </c>
      <c r="D11" s="18">
        <f>'[1]Bank Lane'!X12</f>
        <v>6550</v>
      </c>
      <c r="E11" s="18">
        <f>'[1]Brixham Harbour'!X12</f>
        <v>5622</v>
      </c>
      <c r="F11" s="18">
        <f>[1]Goodrington!X12</f>
        <v>1453</v>
      </c>
      <c r="G11" s="81">
        <v>2210.6937373220194</v>
      </c>
      <c r="H11" s="18">
        <f>'[1]Paignton Central'!X12</f>
        <v>3606</v>
      </c>
      <c r="I11" s="18">
        <f>'[1]Preston North PA '!X12</f>
        <v>2241</v>
      </c>
      <c r="J11" s="68"/>
      <c r="K11" s="81">
        <v>728.94876608393815</v>
      </c>
      <c r="L11" s="18">
        <f>'[1]Lymington Road TQ'!X13</f>
        <v>2078</v>
      </c>
      <c r="M11" s="18">
        <f>'[1]Seafront TQ'!AE21</f>
        <v>5630</v>
      </c>
      <c r="N11" s="18">
        <f>[1]Sheet10!X17</f>
        <v>1635</v>
      </c>
    </row>
    <row r="12" spans="2:14" ht="15.75" thickBot="1">
      <c r="B12">
        <v>9</v>
      </c>
      <c r="C12" s="63">
        <v>42541</v>
      </c>
      <c r="D12" s="18">
        <f>'[1]Bank Lane'!X13</f>
        <v>6587</v>
      </c>
      <c r="E12" s="18">
        <f>'[1]Brixham Harbour'!X13</f>
        <v>6342</v>
      </c>
      <c r="F12" s="18">
        <f>[1]Goodrington!X13</f>
        <v>1595</v>
      </c>
      <c r="G12" s="82">
        <v>3447.848468857193</v>
      </c>
      <c r="H12" s="18">
        <f>'[1]Paignton Central'!X13</f>
        <v>5624</v>
      </c>
      <c r="I12" s="18">
        <f>'[1]Preston North PA '!X13</f>
        <v>2683</v>
      </c>
      <c r="J12" s="68"/>
      <c r="K12" s="82">
        <v>800.18808114513513</v>
      </c>
      <c r="L12" s="18">
        <f>'[1]Lymington Road TQ'!X14</f>
        <v>1786</v>
      </c>
      <c r="M12" s="18">
        <f>'[1]Seafront TQ'!AE22</f>
        <v>6655</v>
      </c>
      <c r="N12" s="18">
        <f>[1]Sheet10!X18</f>
        <v>2960</v>
      </c>
    </row>
    <row r="13" spans="2:14">
      <c r="B13">
        <v>10</v>
      </c>
      <c r="C13" s="63">
        <v>42548</v>
      </c>
      <c r="D13" s="18">
        <f>'[1]Bank Lane'!X14</f>
        <v>6138</v>
      </c>
      <c r="E13" s="18">
        <f>'[1]Brixham Harbour'!X14</f>
        <v>5550</v>
      </c>
      <c r="F13" s="18">
        <f>[1]Goodrington!X14</f>
        <v>1013</v>
      </c>
      <c r="G13" s="18">
        <f>'[1]Apollo '!X14</f>
        <v>781</v>
      </c>
      <c r="H13" s="18">
        <f>'[1]Paignton Central'!X14</f>
        <v>4163</v>
      </c>
      <c r="I13" s="18">
        <f>'[1]Preston North PA '!X14</f>
        <v>2400</v>
      </c>
      <c r="J13" s="69">
        <f>[1]Corbyn!X5</f>
        <v>501</v>
      </c>
      <c r="K13" s="18">
        <f>'[1]Meadfoot TQ'!X15</f>
        <v>734</v>
      </c>
      <c r="L13" s="18">
        <f>'[1]Lymington Road TQ'!X15</f>
        <v>1838</v>
      </c>
      <c r="M13" s="18">
        <f>'[1]Seafront TQ'!AE23</f>
        <v>5733</v>
      </c>
      <c r="N13" s="18">
        <f>[1]Sheet10!X19</f>
        <v>2234</v>
      </c>
    </row>
    <row r="14" spans="2:14">
      <c r="B14">
        <v>11</v>
      </c>
      <c r="C14" s="63">
        <v>42555</v>
      </c>
      <c r="D14" s="18">
        <f>'[1]Bank Lane'!X15</f>
        <v>7134</v>
      </c>
      <c r="E14" s="18">
        <f>'[1]Brixham Harbour'!X15</f>
        <v>6921</v>
      </c>
      <c r="F14" s="18">
        <f>[1]Goodrington!X15</f>
        <v>3093</v>
      </c>
      <c r="G14" s="18">
        <f>'[1]Apollo '!X15</f>
        <v>3468</v>
      </c>
      <c r="H14" s="18">
        <f>'[1]Paignton Central'!X15</f>
        <v>5059</v>
      </c>
      <c r="I14" s="18">
        <f>'[1]Preston North PA '!X15</f>
        <v>3283</v>
      </c>
      <c r="J14" s="69">
        <f>[1]Corbyn!X6</f>
        <v>34</v>
      </c>
      <c r="K14" s="18">
        <f>'[1]Meadfoot TQ'!X16</f>
        <v>1463</v>
      </c>
      <c r="L14" s="18">
        <f>'[1]Lymington Road TQ'!X16</f>
        <v>1829</v>
      </c>
      <c r="M14" s="18">
        <f>'[1]Seafront TQ'!AE24</f>
        <v>6860</v>
      </c>
      <c r="N14" s="18">
        <f>[1]Sheet10!X20</f>
        <v>2344</v>
      </c>
    </row>
    <row r="15" spans="2:14">
      <c r="B15">
        <v>12</v>
      </c>
      <c r="C15" s="63">
        <v>42562</v>
      </c>
      <c r="D15" s="18">
        <f>'[1]Bank Lane'!X16</f>
        <v>7358</v>
      </c>
      <c r="E15" s="18">
        <f>'[1]Brixham Harbour'!X16</f>
        <v>7184</v>
      </c>
      <c r="F15" s="18">
        <f>[1]Goodrington!X16</f>
        <v>3955</v>
      </c>
      <c r="G15" s="18">
        <f>'[1]Apollo '!X16</f>
        <v>3795</v>
      </c>
      <c r="H15" s="18">
        <f>'[1]Paignton Central'!X16</f>
        <v>6629</v>
      </c>
      <c r="I15" s="18">
        <f>'[1]Preston North PA '!X16</f>
        <v>3703</v>
      </c>
      <c r="J15" s="69">
        <f>[1]Corbyn!X7</f>
        <v>25</v>
      </c>
      <c r="K15" s="18">
        <f>'[1]Meadfoot TQ'!X17</f>
        <v>2192</v>
      </c>
      <c r="L15" s="18">
        <f>'[1]Lymington Road TQ'!X17</f>
        <v>1863</v>
      </c>
      <c r="M15" s="18">
        <f>'[1]Seafront TQ'!AE25</f>
        <v>8355</v>
      </c>
      <c r="N15" s="18">
        <f>[1]Sheet10!X21</f>
        <v>3526</v>
      </c>
    </row>
    <row r="16" spans="2:14">
      <c r="B16">
        <v>13</v>
      </c>
      <c r="C16" s="63">
        <v>42569</v>
      </c>
      <c r="D16" s="18">
        <f>'[1]Bank Lane'!X17</f>
        <v>7656</v>
      </c>
      <c r="E16" s="18">
        <f>'[1]Brixham Harbour'!X17</f>
        <v>7517</v>
      </c>
      <c r="F16" s="18">
        <f>[1]Goodrington!X17</f>
        <v>5451</v>
      </c>
      <c r="G16" s="18">
        <f>'[1]Apollo '!X17</f>
        <v>5818</v>
      </c>
      <c r="H16" s="18">
        <f>'[1]Paignton Central'!X17</f>
        <v>12945</v>
      </c>
      <c r="I16" s="18">
        <f>'[1]Preston North PA '!X17</f>
        <v>4429</v>
      </c>
      <c r="J16" s="69">
        <f>[1]Corbyn!X8</f>
        <v>35</v>
      </c>
      <c r="K16" s="18">
        <f>'[1]Meadfoot TQ'!X18</f>
        <v>2690</v>
      </c>
      <c r="L16" s="18">
        <f>'[1]Lymington Road TQ'!X18</f>
        <v>1759</v>
      </c>
      <c r="M16" s="18">
        <f>'[1]Seafront TQ'!AE26</f>
        <v>10045</v>
      </c>
      <c r="N16" s="18">
        <f>[1]Sheet10!X22</f>
        <v>2733</v>
      </c>
    </row>
    <row r="17" spans="1:15">
      <c r="B17">
        <v>14</v>
      </c>
      <c r="C17" s="63">
        <v>42576</v>
      </c>
      <c r="D17" s="18">
        <f>'[1]Bank Lane'!X18</f>
        <v>8930</v>
      </c>
      <c r="E17" s="18">
        <f>'[1]Brixham Harbour'!X18</f>
        <v>9519</v>
      </c>
      <c r="F17" s="18">
        <f>[1]Goodrington!X18</f>
        <v>7138</v>
      </c>
      <c r="G17" s="18">
        <f>'[1]Apollo '!X18</f>
        <v>7320</v>
      </c>
      <c r="H17" s="18">
        <f>'[1]Paignton Central'!X18</f>
        <v>17007</v>
      </c>
      <c r="I17" s="18">
        <f>'[1]Preston North PA '!X18</f>
        <v>4071</v>
      </c>
      <c r="J17" s="69">
        <f>[1]Corbyn!X9</f>
        <v>38</v>
      </c>
      <c r="K17" s="18">
        <f>'[1]Meadfoot TQ'!X19</f>
        <v>2356</v>
      </c>
      <c r="L17" s="18">
        <f>'[1]Lymington Road TQ'!X19</f>
        <v>1784</v>
      </c>
      <c r="M17" s="18">
        <f>'[1]Seafront TQ'!AE27</f>
        <v>12629</v>
      </c>
      <c r="N17" s="18">
        <f>[1]Sheet10!X23</f>
        <v>2811</v>
      </c>
    </row>
    <row r="18" spans="1:15">
      <c r="B18">
        <v>15</v>
      </c>
      <c r="C18" s="63">
        <v>42583</v>
      </c>
      <c r="D18" s="18">
        <f>'[1]Bank Lane'!X19</f>
        <v>8762</v>
      </c>
      <c r="E18" s="18">
        <f>'[1]Brixham Harbour'!X19</f>
        <v>9338</v>
      </c>
      <c r="F18" s="18">
        <f>[1]Goodrington!X19</f>
        <v>6424</v>
      </c>
      <c r="G18" s="18">
        <f>'[1]Apollo '!X19</f>
        <v>7228</v>
      </c>
      <c r="H18" s="18">
        <f>'[1]Paignton Central'!X19</f>
        <v>8937</v>
      </c>
      <c r="I18" s="18">
        <f>'[1]Preston North PA '!X19</f>
        <v>4259</v>
      </c>
      <c r="J18" s="69">
        <f>[1]Corbyn!X10</f>
        <v>52</v>
      </c>
      <c r="K18" s="18">
        <f>'[1]Meadfoot TQ'!X20</f>
        <v>2740</v>
      </c>
      <c r="L18" s="18">
        <f>'[1]Lymington Road TQ'!X20</f>
        <v>1869</v>
      </c>
      <c r="M18" s="18">
        <f>'[1]Seafront TQ'!AE28</f>
        <v>15655</v>
      </c>
      <c r="N18" s="18">
        <f>[1]Sheet10!X24</f>
        <v>6049</v>
      </c>
    </row>
    <row r="19" spans="1:15">
      <c r="B19">
        <v>16</v>
      </c>
      <c r="C19" s="63">
        <v>42590</v>
      </c>
      <c r="D19" s="18">
        <f>'[1]Bank Lane'!X20</f>
        <v>9181</v>
      </c>
      <c r="E19" s="18">
        <f>'[1]Brixham Harbour'!X20</f>
        <v>10712</v>
      </c>
      <c r="F19" s="18">
        <f>[1]Goodrington!X20</f>
        <v>8702</v>
      </c>
      <c r="G19" s="18">
        <f>'[1]Apollo '!X20</f>
        <v>9461</v>
      </c>
      <c r="H19" s="18">
        <f>'[1]Paignton Central'!X20</f>
        <v>14032</v>
      </c>
      <c r="I19" s="18">
        <f>'[1]Preston North PA '!X20</f>
        <v>5620</v>
      </c>
      <c r="J19" s="69">
        <f>[1]Corbyn!X11</f>
        <v>58</v>
      </c>
      <c r="K19" s="18">
        <f>'[1]Meadfoot TQ'!X21</f>
        <v>4028</v>
      </c>
      <c r="L19" s="18">
        <f>'[1]Lymington Road TQ'!X21</f>
        <v>1840</v>
      </c>
      <c r="M19" s="18">
        <f>'[1]Seafront TQ'!AE29</f>
        <v>18049</v>
      </c>
      <c r="N19" s="18">
        <f>[1]Sheet10!X25</f>
        <v>6866</v>
      </c>
    </row>
    <row r="20" spans="1:15">
      <c r="B20">
        <v>17</v>
      </c>
      <c r="C20" s="63">
        <v>42597</v>
      </c>
      <c r="D20" s="18">
        <f>'[1]Bank Lane'!X21</f>
        <v>8357</v>
      </c>
      <c r="E20" s="18">
        <f>'[1]Brixham Harbour'!X21</f>
        <v>7825</v>
      </c>
      <c r="F20" s="18">
        <f>[1]Goodrington!X21</f>
        <v>6248</v>
      </c>
      <c r="G20" s="18">
        <f>'[1]Apollo '!X21</f>
        <v>5745</v>
      </c>
      <c r="H20" s="18">
        <f>'[1]Paignton Central'!X21</f>
        <v>10381</v>
      </c>
      <c r="I20" s="18">
        <f>'[1]Preston North PA '!X21</f>
        <v>4085</v>
      </c>
      <c r="J20" s="69">
        <f>[1]Corbyn!X12</f>
        <v>76</v>
      </c>
      <c r="K20" s="18">
        <f>'[1]Meadfoot TQ'!X22</f>
        <v>3074</v>
      </c>
      <c r="L20" s="18">
        <f>'[1]Lymington Road TQ'!X22</f>
        <v>1823</v>
      </c>
      <c r="M20" s="18">
        <f>'[1]Seafront TQ'!AE30</f>
        <v>12045</v>
      </c>
      <c r="N20" s="18">
        <f>[1]Sheet10!X26</f>
        <v>5220</v>
      </c>
    </row>
    <row r="21" spans="1:15">
      <c r="B21">
        <v>18</v>
      </c>
      <c r="C21" s="63">
        <v>42604</v>
      </c>
      <c r="D21" s="18">
        <f>'[1]Bank Lane'!X22</f>
        <v>9238</v>
      </c>
      <c r="E21" s="18">
        <f>'[1]Brixham Harbour'!X22</f>
        <v>10507</v>
      </c>
      <c r="F21" s="18">
        <f>[1]Goodrington!X22</f>
        <v>7820</v>
      </c>
      <c r="G21" s="18">
        <f>'[1]Apollo '!X22</f>
        <v>6234</v>
      </c>
      <c r="H21" s="18">
        <f>'[1]Paignton Central'!X22</f>
        <v>10247</v>
      </c>
      <c r="I21" s="18">
        <f>'[1]Preston North PA '!X22</f>
        <v>4653</v>
      </c>
      <c r="J21" s="69">
        <f>[1]Corbyn!X13</f>
        <v>30</v>
      </c>
      <c r="K21" s="18">
        <f>'[1]Meadfoot TQ'!X23</f>
        <v>3761</v>
      </c>
      <c r="L21" s="18">
        <f>'[1]Lymington Road TQ'!X23</f>
        <v>1783</v>
      </c>
      <c r="M21" s="18">
        <f>'[1]Seafront TQ'!AE31</f>
        <v>14773</v>
      </c>
      <c r="N21" s="18">
        <f>[1]Sheet10!X27</f>
        <v>6145</v>
      </c>
    </row>
    <row r="22" spans="1:15">
      <c r="B22">
        <v>19</v>
      </c>
      <c r="C22" s="63">
        <v>42611</v>
      </c>
      <c r="D22" s="18">
        <f>'[1]Bank Lane'!X23</f>
        <v>7832</v>
      </c>
      <c r="E22" s="18">
        <f>'[1]Brixham Harbour'!X23</f>
        <v>8472</v>
      </c>
      <c r="F22" s="18">
        <f>[1]Goodrington!X23</f>
        <v>5731</v>
      </c>
      <c r="G22" s="18">
        <f>'[1]Apollo '!X23</f>
        <v>4945</v>
      </c>
      <c r="H22" s="18">
        <f>'[1]Paignton Central'!X23</f>
        <v>7280</v>
      </c>
      <c r="I22" s="18">
        <f>'[1]Preston North PA '!X23</f>
        <v>4101</v>
      </c>
      <c r="J22" s="69">
        <f>[1]Corbyn!X14</f>
        <v>50</v>
      </c>
      <c r="K22" s="18">
        <f>'[1]Meadfoot TQ'!X24</f>
        <v>2952</v>
      </c>
      <c r="L22" s="18">
        <f>'[1]Lymington Road TQ'!X24</f>
        <v>1607</v>
      </c>
      <c r="M22" s="18">
        <f>'[1]Seafront TQ'!AE32</f>
        <v>11458</v>
      </c>
      <c r="N22" s="18">
        <f>[1]Sheet10!X28</f>
        <v>3427</v>
      </c>
    </row>
    <row r="23" spans="1:15">
      <c r="B23">
        <v>20</v>
      </c>
      <c r="C23" s="64">
        <v>42618</v>
      </c>
      <c r="D23" s="18">
        <f>'[1]Bank Lane'!X24</f>
        <v>1228</v>
      </c>
      <c r="E23" s="18">
        <f>'[1]Brixham Harbour'!X24</f>
        <v>2880</v>
      </c>
      <c r="F23" s="18">
        <f>[1]Goodrington!X24</f>
        <v>738</v>
      </c>
      <c r="G23" s="18">
        <f>'[1]Apollo '!X24</f>
        <v>882</v>
      </c>
      <c r="H23" s="18">
        <f>'[1]Paignton Central'!X24</f>
        <v>1319</v>
      </c>
      <c r="I23" s="18">
        <f>'[1]Preston North PA '!X24</f>
        <v>16</v>
      </c>
      <c r="J23" s="69">
        <f>[1]Corbyn!X15</f>
        <v>0</v>
      </c>
      <c r="K23" s="18">
        <f>'[1]Meadfoot TQ'!X25</f>
        <v>582</v>
      </c>
      <c r="L23" s="18">
        <f>'[1]Lymington Road TQ'!X25</f>
        <v>635</v>
      </c>
      <c r="M23" s="18">
        <f>'[1]Seafront TQ'!AE33</f>
        <v>1221</v>
      </c>
      <c r="N23" s="18">
        <f>[1]Sheet10!X29</f>
        <v>492</v>
      </c>
    </row>
    <row r="24" spans="1:15">
      <c r="J24" s="68"/>
    </row>
    <row r="25" spans="1:15">
      <c r="C25" t="s">
        <v>112</v>
      </c>
      <c r="D25" s="18">
        <f>SUM(D4:D23)</f>
        <v>139338</v>
      </c>
      <c r="E25" s="18">
        <f t="shared" ref="E25:N25" si="0">SUM(E4:E23)</f>
        <v>133982</v>
      </c>
      <c r="F25" s="18">
        <f t="shared" si="0"/>
        <v>78462</v>
      </c>
      <c r="G25" s="18">
        <f t="shared" si="0"/>
        <v>95040.958452498482</v>
      </c>
      <c r="H25" s="18">
        <f t="shared" si="0"/>
        <v>162208</v>
      </c>
      <c r="I25" s="18">
        <f t="shared" si="0"/>
        <v>67468</v>
      </c>
      <c r="J25" s="69">
        <f t="shared" si="0"/>
        <v>899</v>
      </c>
      <c r="K25" s="18">
        <f t="shared" si="0"/>
        <v>37683.828093594733</v>
      </c>
      <c r="L25" s="18">
        <f t="shared" si="0"/>
        <v>34930</v>
      </c>
      <c r="M25" s="18">
        <f t="shared" si="0"/>
        <v>161759</v>
      </c>
      <c r="N25" s="18">
        <f t="shared" si="0"/>
        <v>58514</v>
      </c>
    </row>
    <row r="26" spans="1:15">
      <c r="A26" t="s">
        <v>197</v>
      </c>
      <c r="J26" s="68"/>
    </row>
    <row r="27" spans="1:15">
      <c r="C27" t="s">
        <v>126</v>
      </c>
      <c r="D27" s="18">
        <f>D25-(D25/5)</f>
        <v>111470.39999999999</v>
      </c>
      <c r="E27" s="18">
        <f t="shared" ref="E27:N27" si="1">E25-(E25/5)</f>
        <v>107185.60000000001</v>
      </c>
      <c r="F27" s="18">
        <f t="shared" si="1"/>
        <v>62769.599999999999</v>
      </c>
      <c r="G27" s="18">
        <f t="shared" si="1"/>
        <v>76032.766761998791</v>
      </c>
      <c r="H27" s="18">
        <f t="shared" si="1"/>
        <v>129766.39999999999</v>
      </c>
      <c r="I27" s="18">
        <f t="shared" si="1"/>
        <v>53974.400000000001</v>
      </c>
      <c r="J27" s="69">
        <f t="shared" si="1"/>
        <v>719.2</v>
      </c>
      <c r="K27" s="18">
        <f t="shared" si="1"/>
        <v>30147.062474875787</v>
      </c>
      <c r="L27" s="18">
        <f t="shared" si="1"/>
        <v>27944</v>
      </c>
      <c r="M27" s="18">
        <f t="shared" si="1"/>
        <v>129407.2</v>
      </c>
      <c r="N27" s="18">
        <f t="shared" si="1"/>
        <v>46811.199999999997</v>
      </c>
    </row>
    <row r="28" spans="1:15">
      <c r="J28" s="68"/>
    </row>
    <row r="29" spans="1:15" ht="16.5" thickBot="1">
      <c r="C29" t="s">
        <v>127</v>
      </c>
      <c r="D29" s="65">
        <f>D27*0.2</f>
        <v>22294.080000000002</v>
      </c>
      <c r="E29" s="65">
        <f t="shared" ref="E29:N29" si="2">E27*0.2</f>
        <v>21437.120000000003</v>
      </c>
      <c r="F29" s="65">
        <f t="shared" si="2"/>
        <v>12553.92</v>
      </c>
      <c r="G29" s="65">
        <f t="shared" si="2"/>
        <v>15206.553352399758</v>
      </c>
      <c r="H29" s="65">
        <f t="shared" si="2"/>
        <v>25953.279999999999</v>
      </c>
      <c r="I29" s="65">
        <f t="shared" si="2"/>
        <v>10794.880000000001</v>
      </c>
      <c r="J29" s="70">
        <f t="shared" si="2"/>
        <v>143.84</v>
      </c>
      <c r="K29" s="65">
        <f t="shared" si="2"/>
        <v>6029.4124949751576</v>
      </c>
      <c r="L29" s="65">
        <f t="shared" si="2"/>
        <v>5588.8</v>
      </c>
      <c r="M29" s="65">
        <f t="shared" si="2"/>
        <v>25881.440000000002</v>
      </c>
      <c r="N29" s="65">
        <f t="shared" si="2"/>
        <v>9362.24</v>
      </c>
      <c r="O29" s="23">
        <f>SUM(D29:N29)</f>
        <v>155245.56584737491</v>
      </c>
    </row>
    <row r="30" spans="1:15" ht="15.75" thickBot="1"/>
    <row r="31" spans="1:15" ht="15.75" thickBot="1">
      <c r="G31" s="71" t="s">
        <v>97</v>
      </c>
      <c r="H31" s="72" t="s">
        <v>128</v>
      </c>
      <c r="I31" s="73" t="s">
        <v>129</v>
      </c>
      <c r="L31" t="s">
        <v>31</v>
      </c>
      <c r="M31" t="s">
        <v>122</v>
      </c>
    </row>
    <row r="32" spans="1:15" ht="15.75" thickBot="1">
      <c r="G32" s="80">
        <f>I32/100*H32</f>
        <v>8140.8214470047415</v>
      </c>
      <c r="H32" s="66">
        <v>13279</v>
      </c>
      <c r="I32" s="74">
        <v>61.305982732169149</v>
      </c>
      <c r="L32" s="82">
        <f t="shared" ref="L32:L39" si="3">N32/100*M32</f>
        <v>842.32964780105442</v>
      </c>
      <c r="M32">
        <v>1679</v>
      </c>
      <c r="N32" s="76">
        <v>50.168531733237309</v>
      </c>
    </row>
    <row r="33" spans="7:14" ht="15.75" thickBot="1">
      <c r="G33" s="81">
        <f t="shared" ref="G33:G40" si="4">I33/100*H33</f>
        <v>2673.5539069498968</v>
      </c>
      <c r="H33" s="66">
        <v>4361</v>
      </c>
      <c r="I33" s="74">
        <v>61.305982732169149</v>
      </c>
      <c r="L33" s="82">
        <f t="shared" si="3"/>
        <v>1104.7110687658856</v>
      </c>
      <c r="M33">
        <v>2202</v>
      </c>
      <c r="N33" s="76">
        <v>50.168531733237309</v>
      </c>
    </row>
    <row r="34" spans="7:14" ht="15.75" thickBot="1">
      <c r="G34" s="81">
        <f t="shared" si="4"/>
        <v>2135.9004383887732</v>
      </c>
      <c r="H34" s="66">
        <v>3484</v>
      </c>
      <c r="I34" s="74">
        <v>61.305982732169149</v>
      </c>
      <c r="L34" s="82">
        <f t="shared" si="3"/>
        <v>978.28636879812757</v>
      </c>
      <c r="M34">
        <v>1950</v>
      </c>
      <c r="N34" s="76">
        <v>50.168531733237309</v>
      </c>
    </row>
    <row r="35" spans="7:14" ht="15.75" thickBot="1">
      <c r="G35" s="81">
        <f t="shared" si="4"/>
        <v>1641.1611577401682</v>
      </c>
      <c r="H35" s="66">
        <v>2677</v>
      </c>
      <c r="I35" s="74">
        <v>61.305982732169149</v>
      </c>
      <c r="L35" s="82">
        <f t="shared" si="3"/>
        <v>741.49089901724744</v>
      </c>
      <c r="M35">
        <v>1478</v>
      </c>
      <c r="N35" s="76">
        <v>50.168531733237309</v>
      </c>
    </row>
    <row r="36" spans="7:14" ht="15.75" thickBot="1">
      <c r="G36" s="81">
        <f t="shared" si="4"/>
        <v>4233.7911674836014</v>
      </c>
      <c r="H36" s="66">
        <v>6906</v>
      </c>
      <c r="I36" s="74">
        <v>61.305982732169149</v>
      </c>
      <c r="L36" s="82">
        <f t="shared" si="3"/>
        <v>1875.8014015057429</v>
      </c>
      <c r="M36">
        <v>3739</v>
      </c>
      <c r="N36" s="76">
        <v>50.168531733237309</v>
      </c>
    </row>
    <row r="37" spans="7:14" ht="15.75" thickBot="1">
      <c r="G37" s="81">
        <f t="shared" si="4"/>
        <v>6945.9678435547648</v>
      </c>
      <c r="H37" s="66">
        <v>11330</v>
      </c>
      <c r="I37" s="74">
        <v>61.305982732169149</v>
      </c>
      <c r="L37" s="82">
        <f t="shared" si="3"/>
        <v>2768.2995810400348</v>
      </c>
      <c r="M37">
        <v>5518</v>
      </c>
      <c r="N37" s="76">
        <v>50.168531733237309</v>
      </c>
    </row>
    <row r="38" spans="7:14" ht="15.75" thickBot="1">
      <c r="G38" s="81">
        <f t="shared" si="4"/>
        <v>7934.2202851973316</v>
      </c>
      <c r="H38" s="66">
        <v>12942</v>
      </c>
      <c r="I38" s="74">
        <v>61.305982732169149</v>
      </c>
      <c r="L38" s="82">
        <f t="shared" si="3"/>
        <v>1271.7722794375659</v>
      </c>
      <c r="M38">
        <v>2535</v>
      </c>
      <c r="N38" s="76">
        <v>50.168531733237309</v>
      </c>
    </row>
    <row r="39" spans="7:14" ht="15.75" thickBot="1">
      <c r="G39" s="81">
        <f t="shared" si="4"/>
        <v>2210.6937373220194</v>
      </c>
      <c r="H39" s="66">
        <v>3606</v>
      </c>
      <c r="I39" s="74">
        <v>61.305982732169149</v>
      </c>
      <c r="L39" s="82">
        <f t="shared" si="3"/>
        <v>728.94876608393815</v>
      </c>
      <c r="M39">
        <v>1453</v>
      </c>
      <c r="N39" s="76">
        <v>50.168531733237309</v>
      </c>
    </row>
    <row r="40" spans="7:14" ht="15.75" thickBot="1">
      <c r="G40" s="82">
        <f t="shared" si="4"/>
        <v>3447.848468857193</v>
      </c>
      <c r="H40" s="66">
        <v>5624</v>
      </c>
      <c r="I40" s="74">
        <v>61.305982732169149</v>
      </c>
      <c r="L40" s="82">
        <f t="shared" ref="L40" si="5">N40/100*M40</f>
        <v>800.18808114513513</v>
      </c>
      <c r="M40">
        <v>1595</v>
      </c>
      <c r="N40" s="76">
        <v>50.168531733237309</v>
      </c>
    </row>
    <row r="41" spans="7:14">
      <c r="G41" s="75">
        <v>781</v>
      </c>
      <c r="H41" s="66">
        <v>4163</v>
      </c>
      <c r="I41" s="76"/>
      <c r="L41">
        <v>734</v>
      </c>
      <c r="M41">
        <v>1013</v>
      </c>
      <c r="N41" s="76">
        <f t="shared" ref="N41" si="6">L41/M41*100</f>
        <v>72.458045409674227</v>
      </c>
    </row>
    <row r="42" spans="7:14">
      <c r="G42" s="75">
        <v>3468</v>
      </c>
      <c r="H42" s="66">
        <v>5059</v>
      </c>
      <c r="I42" s="76">
        <f>G42/H42*100</f>
        <v>68.55109705475391</v>
      </c>
      <c r="L42">
        <v>1463</v>
      </c>
      <c r="M42">
        <v>3093</v>
      </c>
      <c r="N42" s="76">
        <f>L42/M42*100</f>
        <v>47.300355641771738</v>
      </c>
    </row>
    <row r="43" spans="7:14">
      <c r="G43" s="75">
        <v>3795</v>
      </c>
      <c r="H43" s="66">
        <v>6629</v>
      </c>
      <c r="I43" s="76">
        <f t="shared" ref="I43:I51" si="7">G43/H43*100</f>
        <v>57.248453763765269</v>
      </c>
      <c r="L43">
        <v>2192</v>
      </c>
      <c r="M43">
        <v>3955</v>
      </c>
      <c r="N43" s="76">
        <f t="shared" ref="N43:N51" si="8">L43/M43*100</f>
        <v>55.423514538558784</v>
      </c>
    </row>
    <row r="44" spans="7:14">
      <c r="G44" s="75">
        <v>5818</v>
      </c>
      <c r="H44" s="66">
        <v>12945</v>
      </c>
      <c r="I44" s="76">
        <f t="shared" si="7"/>
        <v>44.943993820007726</v>
      </c>
      <c r="L44">
        <v>2690</v>
      </c>
      <c r="M44">
        <v>5451</v>
      </c>
      <c r="N44" s="76">
        <f t="shared" si="8"/>
        <v>49.348743349844064</v>
      </c>
    </row>
    <row r="45" spans="7:14">
      <c r="G45" s="75">
        <v>7320</v>
      </c>
      <c r="H45" s="66">
        <v>17007</v>
      </c>
      <c r="I45" s="76">
        <f t="shared" si="7"/>
        <v>43.041100723231615</v>
      </c>
      <c r="L45">
        <v>2356</v>
      </c>
      <c r="M45">
        <v>7138</v>
      </c>
      <c r="N45" s="76">
        <f t="shared" si="8"/>
        <v>33.006444382179886</v>
      </c>
    </row>
    <row r="46" spans="7:14">
      <c r="G46" s="75">
        <v>7228</v>
      </c>
      <c r="H46" s="66">
        <v>8937</v>
      </c>
      <c r="I46" s="76">
        <f t="shared" si="7"/>
        <v>80.877251874230723</v>
      </c>
      <c r="L46">
        <v>2740</v>
      </c>
      <c r="M46">
        <v>6424</v>
      </c>
      <c r="N46" s="76">
        <f t="shared" si="8"/>
        <v>42.65255292652553</v>
      </c>
    </row>
    <row r="47" spans="7:14">
      <c r="G47" s="75">
        <v>9461</v>
      </c>
      <c r="H47" s="66">
        <v>14032</v>
      </c>
      <c r="I47" s="76">
        <f t="shared" si="7"/>
        <v>67.424458380843788</v>
      </c>
      <c r="L47">
        <v>4028</v>
      </c>
      <c r="M47">
        <v>8702</v>
      </c>
      <c r="N47" s="76">
        <f t="shared" si="8"/>
        <v>46.288209606986904</v>
      </c>
    </row>
    <row r="48" spans="7:14">
      <c r="G48" s="75">
        <v>5745</v>
      </c>
      <c r="H48" s="66">
        <v>10381</v>
      </c>
      <c r="I48" s="76">
        <f t="shared" si="7"/>
        <v>55.341489259223586</v>
      </c>
      <c r="L48">
        <v>3074</v>
      </c>
      <c r="M48">
        <v>6248</v>
      </c>
      <c r="N48" s="76">
        <f t="shared" si="8"/>
        <v>49.199743918053777</v>
      </c>
    </row>
    <row r="49" spans="7:14">
      <c r="G49" s="75">
        <v>6234</v>
      </c>
      <c r="H49" s="66">
        <v>10247</v>
      </c>
      <c r="I49" s="76">
        <f t="shared" si="7"/>
        <v>60.83731823948473</v>
      </c>
      <c r="L49">
        <v>3761</v>
      </c>
      <c r="M49">
        <v>7820</v>
      </c>
      <c r="N49" s="76">
        <f t="shared" si="8"/>
        <v>48.094629156010235</v>
      </c>
    </row>
    <row r="50" spans="7:14">
      <c r="G50" s="75">
        <v>4945</v>
      </c>
      <c r="H50" s="66">
        <v>7280</v>
      </c>
      <c r="I50" s="76">
        <f t="shared" si="7"/>
        <v>67.925824175824175</v>
      </c>
      <c r="L50">
        <v>2952</v>
      </c>
      <c r="M50">
        <v>5731</v>
      </c>
      <c r="N50" s="76">
        <f t="shared" si="8"/>
        <v>51.509335194555931</v>
      </c>
    </row>
    <row r="51" spans="7:14" ht="15.75" thickBot="1">
      <c r="G51" s="77">
        <v>882</v>
      </c>
      <c r="H51" s="78">
        <v>1319</v>
      </c>
      <c r="I51" s="79">
        <f t="shared" si="7"/>
        <v>66.868840030325998</v>
      </c>
      <c r="L51">
        <v>582</v>
      </c>
      <c r="M51">
        <v>738</v>
      </c>
      <c r="N51" s="76">
        <f t="shared" si="8"/>
        <v>78.861788617886177</v>
      </c>
    </row>
    <row r="53" spans="7:14" ht="15.75" thickBot="1"/>
    <row r="54" spans="7:14" ht="15.75" thickBot="1">
      <c r="H54" s="83" t="s">
        <v>130</v>
      </c>
      <c r="I54" s="84">
        <f>AVERAGE(I42:I51)</f>
        <v>61.305982732169149</v>
      </c>
      <c r="M54" s="83" t="s">
        <v>130</v>
      </c>
      <c r="N54" s="84">
        <f>AVERAGE(N42:N51)</f>
        <v>50.168531733237309</v>
      </c>
    </row>
  </sheetData>
  <pageMargins left="0.15748031496062992" right="0.15748031496062992" top="0.74803149606299213" bottom="0.74803149606299213" header="0.31496062992125984" footer="0.31496062992125984"/>
  <pageSetup paperSize="8" scale="8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7"/>
  <sheetViews>
    <sheetView tabSelected="1" zoomScale="60" zoomScaleNormal="60" workbookViewId="0">
      <pane ySplit="1" topLeftCell="A2" activePane="bottomLeft" state="frozen"/>
      <selection activeCell="B32" sqref="B32"/>
      <selection pane="bottomLeft" activeCell="B32" sqref="B32"/>
    </sheetView>
  </sheetViews>
  <sheetFormatPr defaultRowHeight="15"/>
  <cols>
    <col min="2" max="2" width="28.875" bestFit="1" customWidth="1"/>
    <col min="3" max="3" width="22" bestFit="1" customWidth="1"/>
    <col min="4" max="4" width="28.125" bestFit="1" customWidth="1"/>
    <col min="5" max="5" width="25.375" bestFit="1" customWidth="1"/>
    <col min="6" max="6" width="18.375" bestFit="1" customWidth="1"/>
    <col min="7" max="7" width="33.125" bestFit="1" customWidth="1"/>
    <col min="8" max="8" width="26.125" bestFit="1" customWidth="1"/>
    <col min="9" max="9" width="13" bestFit="1" customWidth="1"/>
  </cols>
  <sheetData>
    <row r="1" spans="2:9">
      <c r="C1" s="44" t="s">
        <v>111</v>
      </c>
      <c r="D1" s="109" t="s">
        <v>110</v>
      </c>
      <c r="E1" s="44" t="s">
        <v>109</v>
      </c>
      <c r="F1" s="44" t="s">
        <v>108</v>
      </c>
      <c r="G1" s="44" t="s">
        <v>107</v>
      </c>
      <c r="H1" s="44" t="s">
        <v>106</v>
      </c>
      <c r="I1" s="44" t="s">
        <v>105</v>
      </c>
    </row>
    <row r="2" spans="2:9">
      <c r="B2" s="263" t="s">
        <v>94</v>
      </c>
      <c r="C2" s="97">
        <v>101.45</v>
      </c>
      <c r="D2" s="109">
        <v>0</v>
      </c>
      <c r="E2" s="98">
        <v>0</v>
      </c>
      <c r="F2" s="109">
        <v>-8724.1</v>
      </c>
      <c r="G2" s="98"/>
      <c r="H2" s="109"/>
      <c r="I2" s="99">
        <f>SUM(C2:H4)</f>
        <v>-8622.65</v>
      </c>
    </row>
    <row r="3" spans="2:9">
      <c r="B3" s="264"/>
      <c r="C3" s="100"/>
      <c r="D3" s="110"/>
      <c r="E3" s="101"/>
      <c r="F3" s="110"/>
      <c r="G3" s="101"/>
      <c r="H3" s="110"/>
      <c r="I3" s="102"/>
    </row>
    <row r="4" spans="2:9">
      <c r="B4" s="265"/>
      <c r="C4" s="103"/>
      <c r="D4" s="111"/>
      <c r="E4" s="104"/>
      <c r="F4" s="111"/>
      <c r="G4" s="104"/>
      <c r="H4" s="111"/>
      <c r="I4" s="105"/>
    </row>
    <row r="5" spans="2:9">
      <c r="B5" s="259" t="s">
        <v>8</v>
      </c>
      <c r="C5" s="97">
        <v>321.14999999999998</v>
      </c>
      <c r="D5" s="109"/>
      <c r="E5" s="98"/>
      <c r="F5" s="109">
        <v>146.71</v>
      </c>
      <c r="G5" s="98"/>
      <c r="H5" s="109"/>
      <c r="I5" s="99">
        <f>SUM(C5:H7)</f>
        <v>467.86</v>
      </c>
    </row>
    <row r="6" spans="2:9">
      <c r="B6" s="259"/>
      <c r="C6" s="100"/>
      <c r="D6" s="110"/>
      <c r="E6" s="101"/>
      <c r="F6" s="110"/>
      <c r="G6" s="101"/>
      <c r="H6" s="110"/>
      <c r="I6" s="102"/>
    </row>
    <row r="7" spans="2:9">
      <c r="B7" s="259"/>
      <c r="C7" s="103"/>
      <c r="D7" s="111"/>
      <c r="E7" s="104"/>
      <c r="F7" s="111"/>
      <c r="G7" s="104"/>
      <c r="H7" s="111"/>
      <c r="I7" s="105"/>
    </row>
    <row r="8" spans="2:9">
      <c r="B8" s="259" t="s">
        <v>7</v>
      </c>
      <c r="C8" s="97">
        <v>704.26</v>
      </c>
      <c r="D8" s="109">
        <v>908.61</v>
      </c>
      <c r="E8" s="98"/>
      <c r="F8" s="109">
        <v>13075.16</v>
      </c>
      <c r="G8" s="98">
        <v>2640</v>
      </c>
      <c r="H8" s="109"/>
      <c r="I8" s="99">
        <f>SUM(C8:H10)</f>
        <v>17328.03</v>
      </c>
    </row>
    <row r="9" spans="2:9">
      <c r="B9" s="259"/>
      <c r="C9" s="100"/>
      <c r="D9" s="110"/>
      <c r="E9" s="101"/>
      <c r="F9" s="110"/>
      <c r="G9" s="101"/>
      <c r="H9" s="110"/>
      <c r="I9" s="102"/>
    </row>
    <row r="10" spans="2:9">
      <c r="B10" s="259"/>
      <c r="C10" s="103"/>
      <c r="D10" s="111"/>
      <c r="E10" s="104"/>
      <c r="F10" s="111"/>
      <c r="G10" s="104"/>
      <c r="H10" s="111"/>
      <c r="I10" s="105"/>
    </row>
    <row r="11" spans="2:9">
      <c r="B11" s="259" t="s">
        <v>12</v>
      </c>
      <c r="C11" s="97">
        <v>381.85</v>
      </c>
      <c r="D11" s="109"/>
      <c r="E11" s="98"/>
      <c r="F11" s="109">
        <v>1250.46</v>
      </c>
      <c r="G11" s="98">
        <v>1824.1</v>
      </c>
      <c r="H11" s="109"/>
      <c r="I11" s="99">
        <f>SUM(C11:H13)</f>
        <v>3456.41</v>
      </c>
    </row>
    <row r="12" spans="2:9">
      <c r="B12" s="259"/>
      <c r="C12" s="100"/>
      <c r="D12" s="110"/>
      <c r="E12" s="101"/>
      <c r="F12" s="110"/>
      <c r="G12" s="101"/>
      <c r="H12" s="110"/>
      <c r="I12" s="102"/>
    </row>
    <row r="13" spans="2:9">
      <c r="B13" s="259"/>
      <c r="C13" s="103"/>
      <c r="D13" s="111"/>
      <c r="E13" s="104"/>
      <c r="F13" s="111"/>
      <c r="G13" s="104"/>
      <c r="H13" s="111"/>
      <c r="I13" s="105"/>
    </row>
    <row r="14" spans="2:9">
      <c r="B14" s="258" t="s">
        <v>15</v>
      </c>
      <c r="C14" s="97"/>
      <c r="D14" s="109"/>
      <c r="E14" s="98"/>
      <c r="F14" s="109"/>
      <c r="G14" s="98"/>
      <c r="H14" s="109"/>
      <c r="I14" s="99">
        <f>SUM(C14:H16)</f>
        <v>0</v>
      </c>
    </row>
    <row r="15" spans="2:9">
      <c r="B15" s="258"/>
      <c r="C15" s="100"/>
      <c r="D15" s="110"/>
      <c r="E15" s="101"/>
      <c r="F15" s="110"/>
      <c r="G15" s="101"/>
      <c r="H15" s="110"/>
      <c r="I15" s="102"/>
    </row>
    <row r="16" spans="2:9">
      <c r="B16" s="258"/>
      <c r="C16" s="103"/>
      <c r="D16" s="111"/>
      <c r="E16" s="104"/>
      <c r="F16" s="111"/>
      <c r="G16" s="104"/>
      <c r="H16" s="111"/>
      <c r="I16" s="105"/>
    </row>
    <row r="17" spans="1:9">
      <c r="B17" s="259" t="s">
        <v>14</v>
      </c>
      <c r="C17" s="97">
        <v>1594.13</v>
      </c>
      <c r="D17" s="109"/>
      <c r="E17" s="98"/>
      <c r="F17" s="109">
        <v>5604.83</v>
      </c>
      <c r="G17" s="98"/>
      <c r="H17" s="109"/>
      <c r="I17" s="99">
        <f>SUM(C17:H19)</f>
        <v>7198.96</v>
      </c>
    </row>
    <row r="18" spans="1:9">
      <c r="B18" s="259"/>
      <c r="C18" s="100"/>
      <c r="D18" s="110"/>
      <c r="E18" s="101"/>
      <c r="F18" s="110"/>
      <c r="G18" s="101"/>
      <c r="H18" s="110"/>
      <c r="I18" s="102"/>
    </row>
    <row r="19" spans="1:9">
      <c r="B19" s="259"/>
      <c r="C19" s="103"/>
      <c r="D19" s="111"/>
      <c r="E19" s="104"/>
      <c r="F19" s="111"/>
      <c r="G19" s="104"/>
      <c r="H19" s="111"/>
      <c r="I19" s="105"/>
    </row>
    <row r="20" spans="1:9">
      <c r="B20" s="259" t="s">
        <v>13</v>
      </c>
      <c r="C20" s="97"/>
      <c r="D20" s="109"/>
      <c r="E20" s="98">
        <v>-1473.09</v>
      </c>
      <c r="F20" s="109">
        <v>1456.1</v>
      </c>
      <c r="G20" s="98"/>
      <c r="H20" s="109"/>
      <c r="I20" s="99">
        <f>SUM(C20:H22)</f>
        <v>-16.990000000000009</v>
      </c>
    </row>
    <row r="21" spans="1:9">
      <c r="B21" s="259"/>
      <c r="C21" s="100"/>
      <c r="D21" s="110"/>
      <c r="E21" s="101"/>
      <c r="F21" s="110"/>
      <c r="G21" s="101"/>
      <c r="H21" s="110"/>
      <c r="I21" s="102"/>
    </row>
    <row r="22" spans="1:9">
      <c r="B22" s="259"/>
      <c r="C22" s="103"/>
      <c r="D22" s="111"/>
      <c r="E22" s="104"/>
      <c r="F22" s="111"/>
      <c r="G22" s="104"/>
      <c r="H22" s="111"/>
      <c r="I22" s="105"/>
    </row>
    <row r="23" spans="1:9">
      <c r="B23" s="259" t="s">
        <v>16</v>
      </c>
      <c r="C23" s="97">
        <v>2166.0700000000002</v>
      </c>
      <c r="D23" s="109"/>
      <c r="E23" s="98"/>
      <c r="F23" s="109">
        <v>12196.23</v>
      </c>
      <c r="G23" s="98">
        <v>3360</v>
      </c>
      <c r="H23" s="109"/>
      <c r="I23" s="99">
        <f>SUM(C23:H25)</f>
        <v>17722.3</v>
      </c>
    </row>
    <row r="24" spans="1:9">
      <c r="B24" s="259"/>
      <c r="C24" s="100"/>
      <c r="D24" s="110"/>
      <c r="E24" s="101"/>
      <c r="F24" s="110"/>
      <c r="G24" s="101"/>
      <c r="H24" s="110"/>
      <c r="I24" s="102"/>
    </row>
    <row r="25" spans="1:9">
      <c r="B25" s="259"/>
      <c r="C25" s="103"/>
      <c r="D25" s="111"/>
      <c r="E25" s="104"/>
      <c r="F25" s="111"/>
      <c r="G25" s="104"/>
      <c r="H25" s="111"/>
      <c r="I25" s="105"/>
    </row>
    <row r="26" spans="1:9">
      <c r="A26" t="s">
        <v>197</v>
      </c>
      <c r="B26" s="259" t="s">
        <v>18</v>
      </c>
      <c r="C26" s="97">
        <v>1215.6199999999999</v>
      </c>
      <c r="D26" s="109"/>
      <c r="E26" s="98"/>
      <c r="F26" s="109">
        <v>7074.21</v>
      </c>
      <c r="G26" s="98"/>
      <c r="H26" s="109"/>
      <c r="I26" s="99">
        <f>SUM(C26:H28)</f>
        <v>8289.83</v>
      </c>
    </row>
    <row r="27" spans="1:9">
      <c r="B27" s="259"/>
      <c r="C27" s="100"/>
      <c r="D27" s="110"/>
      <c r="E27" s="101"/>
      <c r="F27" s="110"/>
      <c r="G27" s="101"/>
      <c r="H27" s="110"/>
      <c r="I27" s="102"/>
    </row>
    <row r="28" spans="1:9">
      <c r="B28" s="259"/>
      <c r="C28" s="103"/>
      <c r="D28" s="111"/>
      <c r="E28" s="104"/>
      <c r="F28" s="111"/>
      <c r="G28" s="104"/>
      <c r="H28" s="111"/>
      <c r="I28" s="105"/>
    </row>
    <row r="29" spans="1:9">
      <c r="B29" s="259" t="s">
        <v>30</v>
      </c>
      <c r="C29" s="97">
        <v>693.96</v>
      </c>
      <c r="D29" s="109">
        <v>225.96</v>
      </c>
      <c r="E29" s="98"/>
      <c r="F29" s="109">
        <v>2158.23</v>
      </c>
      <c r="G29" s="98"/>
      <c r="H29" s="109"/>
      <c r="I29" s="99">
        <f>SUM(C29:H30)</f>
        <v>3078.15</v>
      </c>
    </row>
    <row r="30" spans="1:9">
      <c r="B30" s="259"/>
      <c r="C30" s="103"/>
      <c r="D30" s="111"/>
      <c r="E30" s="104"/>
      <c r="F30" s="111"/>
      <c r="G30" s="104"/>
      <c r="H30" s="111"/>
      <c r="I30" s="105"/>
    </row>
    <row r="31" spans="1:9">
      <c r="B31" s="258" t="s">
        <v>60</v>
      </c>
      <c r="C31" s="106"/>
      <c r="D31" s="96"/>
      <c r="E31" s="107"/>
      <c r="F31" s="96"/>
      <c r="G31" s="107"/>
      <c r="H31" s="96"/>
      <c r="I31" s="108"/>
    </row>
    <row r="32" spans="1:9">
      <c r="B32" s="258"/>
      <c r="C32" s="100"/>
      <c r="D32" s="110"/>
      <c r="E32" s="101"/>
      <c r="F32" s="110"/>
      <c r="G32" s="101"/>
      <c r="H32" s="110"/>
      <c r="I32" s="102"/>
    </row>
    <row r="33" spans="2:9">
      <c r="B33" s="258"/>
      <c r="C33" s="103"/>
      <c r="D33" s="111"/>
      <c r="E33" s="104"/>
      <c r="F33" s="111"/>
      <c r="G33" s="104"/>
      <c r="H33" s="111"/>
      <c r="I33" s="105"/>
    </row>
    <row r="34" spans="2:9">
      <c r="B34" s="259" t="s">
        <v>29</v>
      </c>
      <c r="C34" s="97">
        <v>60.01</v>
      </c>
      <c r="D34" s="109"/>
      <c r="E34" s="98"/>
      <c r="F34" s="109">
        <v>3679.33</v>
      </c>
      <c r="G34" s="98"/>
      <c r="H34" s="109"/>
      <c r="I34" s="99">
        <f>SUM(C34:H36)</f>
        <v>3739.34</v>
      </c>
    </row>
    <row r="35" spans="2:9">
      <c r="B35" s="259"/>
      <c r="C35" s="100"/>
      <c r="D35" s="110"/>
      <c r="E35" s="101"/>
      <c r="F35" s="110"/>
      <c r="G35" s="101"/>
      <c r="H35" s="110"/>
      <c r="I35" s="102"/>
    </row>
    <row r="36" spans="2:9">
      <c r="B36" s="259"/>
      <c r="C36" s="103"/>
      <c r="D36" s="111"/>
      <c r="E36" s="104"/>
      <c r="F36" s="111"/>
      <c r="G36" s="104"/>
      <c r="H36" s="111"/>
      <c r="I36" s="105"/>
    </row>
    <row r="37" spans="2:9">
      <c r="B37" s="259" t="s">
        <v>31</v>
      </c>
      <c r="C37" s="97">
        <v>494.1</v>
      </c>
      <c r="D37" s="109"/>
      <c r="E37" s="98"/>
      <c r="F37" s="109">
        <v>977.1</v>
      </c>
      <c r="G37" s="98"/>
      <c r="H37" s="109"/>
      <c r="I37" s="99">
        <f>SUM(C37:H39)</f>
        <v>1471.2</v>
      </c>
    </row>
    <row r="38" spans="2:9">
      <c r="B38" s="259"/>
      <c r="C38" s="100"/>
      <c r="D38" s="110"/>
      <c r="E38" s="101"/>
      <c r="F38" s="110"/>
      <c r="G38" s="101"/>
      <c r="H38" s="110"/>
      <c r="I38" s="102"/>
    </row>
    <row r="39" spans="2:9">
      <c r="B39" s="259"/>
      <c r="C39" s="103"/>
      <c r="D39" s="111"/>
      <c r="E39" s="104"/>
      <c r="F39" s="111"/>
      <c r="G39" s="104"/>
      <c r="H39" s="111"/>
      <c r="I39" s="105"/>
    </row>
    <row r="40" spans="2:9">
      <c r="B40" s="259" t="s">
        <v>32</v>
      </c>
      <c r="C40" s="97">
        <v>1190.51</v>
      </c>
      <c r="D40" s="109"/>
      <c r="E40" s="98"/>
      <c r="F40" s="109">
        <v>1215.42</v>
      </c>
      <c r="G40" s="98"/>
      <c r="H40" s="109"/>
      <c r="I40" s="99">
        <f>SUM(C40:H42)</f>
        <v>2405.9300000000003</v>
      </c>
    </row>
    <row r="41" spans="2:9">
      <c r="B41" s="259"/>
      <c r="C41" s="100"/>
      <c r="D41" s="110"/>
      <c r="E41" s="101"/>
      <c r="F41" s="110"/>
      <c r="G41" s="101"/>
      <c r="H41" s="110"/>
      <c r="I41" s="102"/>
    </row>
    <row r="42" spans="2:9">
      <c r="B42" s="259"/>
      <c r="C42" s="103"/>
      <c r="D42" s="111"/>
      <c r="E42" s="104"/>
      <c r="F42" s="111"/>
      <c r="G42" s="104"/>
      <c r="H42" s="111"/>
      <c r="I42" s="105"/>
    </row>
    <row r="43" spans="2:9">
      <c r="B43" s="259" t="s">
        <v>23</v>
      </c>
      <c r="C43" s="97">
        <v>1749.16</v>
      </c>
      <c r="D43" s="109"/>
      <c r="E43" s="98"/>
      <c r="F43" s="109">
        <v>11380</v>
      </c>
      <c r="G43" s="98"/>
      <c r="H43" s="109"/>
      <c r="I43" s="99">
        <f>SUM(C43:H45)</f>
        <v>13129.16</v>
      </c>
    </row>
    <row r="44" spans="2:9">
      <c r="B44" s="259"/>
      <c r="C44" s="100"/>
      <c r="D44" s="110"/>
      <c r="E44" s="101"/>
      <c r="F44" s="110"/>
      <c r="G44" s="101"/>
      <c r="H44" s="110"/>
      <c r="I44" s="102"/>
    </row>
    <row r="45" spans="2:9">
      <c r="B45" s="259"/>
      <c r="C45" s="103"/>
      <c r="D45" s="111"/>
      <c r="E45" s="104"/>
      <c r="F45" s="111"/>
      <c r="G45" s="104"/>
      <c r="H45" s="111"/>
      <c r="I45" s="105"/>
    </row>
    <row r="46" spans="2:9">
      <c r="B46" s="259" t="s">
        <v>24</v>
      </c>
      <c r="C46" s="97">
        <v>3769.31</v>
      </c>
      <c r="D46" s="109"/>
      <c r="E46" s="98"/>
      <c r="F46" s="109">
        <v>10190.16</v>
      </c>
      <c r="G46" s="98">
        <v>3468</v>
      </c>
      <c r="H46" s="109"/>
      <c r="I46" s="99">
        <f>SUM(C46:H48)</f>
        <v>17427.47</v>
      </c>
    </row>
    <row r="47" spans="2:9">
      <c r="B47" s="259"/>
      <c r="C47" s="100"/>
      <c r="D47" s="110"/>
      <c r="E47" s="101"/>
      <c r="F47" s="110"/>
      <c r="G47" s="101"/>
      <c r="H47" s="110"/>
      <c r="I47" s="102"/>
    </row>
    <row r="48" spans="2:9">
      <c r="B48" s="259"/>
      <c r="C48" s="103"/>
      <c r="D48" s="111"/>
      <c r="E48" s="104"/>
      <c r="F48" s="111"/>
      <c r="G48" s="104"/>
      <c r="H48" s="111"/>
      <c r="I48" s="105"/>
    </row>
    <row r="49" spans="2:9">
      <c r="B49" s="257" t="s">
        <v>89</v>
      </c>
      <c r="C49" s="97">
        <v>307.81</v>
      </c>
      <c r="D49" s="109">
        <v>119.04</v>
      </c>
      <c r="E49" s="98"/>
      <c r="F49" s="109">
        <v>7694.19</v>
      </c>
      <c r="G49" s="98"/>
      <c r="H49" s="109"/>
      <c r="I49" s="99">
        <f>SUM(C31:H33)</f>
        <v>0</v>
      </c>
    </row>
    <row r="50" spans="2:9">
      <c r="B50" s="257"/>
      <c r="C50" s="100"/>
      <c r="D50" s="110"/>
      <c r="E50" s="101"/>
      <c r="F50" s="110"/>
      <c r="G50" s="101"/>
      <c r="H50" s="110"/>
      <c r="I50" s="102"/>
    </row>
    <row r="51" spans="2:9">
      <c r="B51" s="257"/>
      <c r="C51" s="103"/>
      <c r="D51" s="111"/>
      <c r="E51" s="104"/>
      <c r="F51" s="111"/>
      <c r="G51" s="104"/>
      <c r="H51" s="111"/>
      <c r="I51" s="105"/>
    </row>
    <row r="52" spans="2:9">
      <c r="B52" s="258" t="s">
        <v>9</v>
      </c>
      <c r="C52" s="97"/>
      <c r="D52" s="109"/>
      <c r="E52" s="98"/>
      <c r="F52" s="109"/>
      <c r="G52" s="98"/>
      <c r="H52" s="109"/>
      <c r="I52" s="99">
        <f>SUM(C52:H54)</f>
        <v>0</v>
      </c>
    </row>
    <row r="53" spans="2:9">
      <c r="B53" s="258"/>
      <c r="C53" s="100"/>
      <c r="D53" s="110"/>
      <c r="E53" s="101"/>
      <c r="F53" s="110"/>
      <c r="G53" s="101"/>
      <c r="H53" s="110"/>
      <c r="I53" s="102"/>
    </row>
    <row r="54" spans="2:9">
      <c r="B54" s="258"/>
      <c r="C54" s="103"/>
      <c r="D54" s="111"/>
      <c r="E54" s="104"/>
      <c r="F54" s="111"/>
      <c r="G54" s="104"/>
      <c r="H54" s="111"/>
      <c r="I54" s="105"/>
    </row>
    <row r="55" spans="2:9">
      <c r="B55" s="259" t="s">
        <v>34</v>
      </c>
      <c r="C55" s="97">
        <v>633.05999999999995</v>
      </c>
      <c r="D55" s="109"/>
      <c r="E55" s="98"/>
      <c r="F55" s="109"/>
      <c r="G55" s="98"/>
      <c r="H55" s="109"/>
      <c r="I55" s="99">
        <f>SUM(C55:H57)</f>
        <v>633.05999999999995</v>
      </c>
    </row>
    <row r="56" spans="2:9">
      <c r="B56" s="259"/>
      <c r="C56" s="100"/>
      <c r="D56" s="110"/>
      <c r="E56" s="101"/>
      <c r="F56" s="110"/>
      <c r="G56" s="101"/>
      <c r="H56" s="110"/>
      <c r="I56" s="102"/>
    </row>
    <row r="57" spans="2:9">
      <c r="B57" s="259"/>
      <c r="C57" s="103"/>
      <c r="D57" s="111"/>
      <c r="E57" s="104"/>
      <c r="F57" s="111"/>
      <c r="G57" s="104"/>
      <c r="H57" s="111"/>
      <c r="I57" s="105"/>
    </row>
    <row r="58" spans="2:9">
      <c r="B58" s="259" t="s">
        <v>87</v>
      </c>
      <c r="C58" s="97">
        <v>338.77</v>
      </c>
      <c r="D58" s="109"/>
      <c r="E58" s="98"/>
      <c r="F58" s="109">
        <v>3405.69</v>
      </c>
      <c r="G58" s="98"/>
      <c r="H58" s="109"/>
      <c r="I58" s="99">
        <f>SUM(C58:H60)</f>
        <v>3744.46</v>
      </c>
    </row>
    <row r="59" spans="2:9">
      <c r="B59" s="259"/>
      <c r="C59" s="100"/>
      <c r="D59" s="110"/>
      <c r="E59" s="101"/>
      <c r="F59" s="110"/>
      <c r="G59" s="101"/>
      <c r="H59" s="110"/>
      <c r="I59" s="102"/>
    </row>
    <row r="60" spans="2:9">
      <c r="B60" s="259"/>
      <c r="C60" s="103"/>
      <c r="D60" s="111"/>
      <c r="E60" s="104"/>
      <c r="F60" s="111"/>
      <c r="G60" s="104"/>
      <c r="H60" s="111"/>
      <c r="I60" s="105"/>
    </row>
    <row r="61" spans="2:9">
      <c r="B61" s="259" t="s">
        <v>10</v>
      </c>
      <c r="C61" s="97">
        <v>269.43</v>
      </c>
      <c r="D61" s="109"/>
      <c r="E61" s="98"/>
      <c r="F61" s="109">
        <v>728.75</v>
      </c>
      <c r="G61" s="98"/>
      <c r="H61" s="109"/>
      <c r="I61" s="99">
        <f>SUM(C61:H63)</f>
        <v>998.18000000000006</v>
      </c>
    </row>
    <row r="62" spans="2:9">
      <c r="B62" s="259"/>
      <c r="C62" s="100"/>
      <c r="D62" s="110"/>
      <c r="E62" s="101"/>
      <c r="F62" s="110"/>
      <c r="G62" s="101"/>
      <c r="H62" s="110"/>
      <c r="I62" s="102"/>
    </row>
    <row r="63" spans="2:9">
      <c r="B63" s="259"/>
      <c r="C63" s="103"/>
      <c r="D63" s="111"/>
      <c r="E63" s="104"/>
      <c r="F63" s="111"/>
      <c r="G63" s="104"/>
      <c r="H63" s="111"/>
      <c r="I63" s="105"/>
    </row>
    <row r="64" spans="2:9">
      <c r="B64" s="259" t="s">
        <v>19</v>
      </c>
      <c r="C64" s="97">
        <v>1619.47</v>
      </c>
      <c r="D64" s="109"/>
      <c r="E64" s="98"/>
      <c r="F64" s="109">
        <v>3449.29</v>
      </c>
      <c r="G64" s="98"/>
      <c r="H64" s="109"/>
      <c r="I64" s="99">
        <f>SUM(C64:H66)</f>
        <v>5068.76</v>
      </c>
    </row>
    <row r="65" spans="2:9">
      <c r="B65" s="259"/>
      <c r="C65" s="100"/>
      <c r="D65" s="110"/>
      <c r="E65" s="101"/>
      <c r="F65" s="110"/>
      <c r="G65" s="101"/>
      <c r="H65" s="110"/>
      <c r="I65" s="102"/>
    </row>
    <row r="66" spans="2:9">
      <c r="B66" s="259"/>
      <c r="C66" s="103"/>
      <c r="D66" s="111"/>
      <c r="E66" s="104"/>
      <c r="F66" s="111"/>
      <c r="G66" s="104"/>
      <c r="H66" s="111"/>
      <c r="I66" s="105"/>
    </row>
    <row r="67" spans="2:9">
      <c r="B67" s="259" t="s">
        <v>20</v>
      </c>
      <c r="C67" s="97">
        <v>1033.07</v>
      </c>
      <c r="D67" s="109"/>
      <c r="E67" s="98"/>
      <c r="F67" s="109">
        <v>1521.83</v>
      </c>
      <c r="G67" s="98"/>
      <c r="H67" s="109"/>
      <c r="I67" s="99">
        <f>SUM(C67:H69)</f>
        <v>2554.8999999999996</v>
      </c>
    </row>
    <row r="68" spans="2:9">
      <c r="B68" s="259"/>
      <c r="C68" s="100"/>
      <c r="D68" s="110"/>
      <c r="E68" s="101"/>
      <c r="F68" s="110"/>
      <c r="G68" s="101"/>
      <c r="H68" s="110"/>
      <c r="I68" s="102"/>
    </row>
    <row r="69" spans="2:9">
      <c r="B69" s="259"/>
      <c r="C69" s="103"/>
      <c r="D69" s="111"/>
      <c r="E69" s="104"/>
      <c r="F69" s="111"/>
      <c r="G69" s="104"/>
      <c r="H69" s="111"/>
      <c r="I69" s="105"/>
    </row>
    <row r="70" spans="2:9">
      <c r="B70" s="258" t="s">
        <v>21</v>
      </c>
      <c r="C70" s="97"/>
      <c r="D70" s="109"/>
      <c r="E70" s="98"/>
      <c r="F70" s="109"/>
      <c r="G70" s="98"/>
      <c r="H70" s="109"/>
      <c r="I70" s="99">
        <f>SUM(C70:H72)</f>
        <v>0</v>
      </c>
    </row>
    <row r="71" spans="2:9">
      <c r="B71" s="258"/>
      <c r="C71" s="100"/>
      <c r="D71" s="110"/>
      <c r="E71" s="101"/>
      <c r="F71" s="110"/>
      <c r="G71" s="101"/>
      <c r="H71" s="110"/>
      <c r="I71" s="102"/>
    </row>
    <row r="72" spans="2:9">
      <c r="B72" s="258"/>
      <c r="C72" s="103"/>
      <c r="D72" s="111"/>
      <c r="E72" s="104"/>
      <c r="F72" s="111"/>
      <c r="G72" s="104"/>
      <c r="H72" s="111"/>
      <c r="I72" s="105"/>
    </row>
    <row r="73" spans="2:9" ht="15.75" thickBot="1">
      <c r="B73" s="260" t="s">
        <v>27</v>
      </c>
      <c r="C73" s="97">
        <v>2526.4899999999998</v>
      </c>
      <c r="D73" s="109"/>
      <c r="E73" s="98"/>
      <c r="F73" s="109">
        <v>7719.37</v>
      </c>
      <c r="G73" s="98">
        <v>7320</v>
      </c>
      <c r="H73" s="109">
        <v>202.51</v>
      </c>
      <c r="I73" s="99">
        <f>SUM(C73:H75)</f>
        <v>17768.37</v>
      </c>
    </row>
    <row r="74" spans="2:9" ht="16.5" thickTop="1" thickBot="1">
      <c r="B74" s="261"/>
      <c r="C74" s="100"/>
      <c r="D74" s="110"/>
      <c r="E74" s="101"/>
      <c r="F74" s="110"/>
      <c r="G74" s="101"/>
      <c r="H74" s="110"/>
      <c r="I74" s="102"/>
    </row>
    <row r="75" spans="2:9" ht="15.75" thickTop="1">
      <c r="B75" s="262"/>
      <c r="C75" s="103"/>
      <c r="D75" s="111"/>
      <c r="E75" s="104"/>
      <c r="F75" s="111"/>
      <c r="G75" s="104"/>
      <c r="H75" s="111"/>
      <c r="I75" s="105"/>
    </row>
    <row r="76" spans="2:9">
      <c r="B76" s="259" t="s">
        <v>90</v>
      </c>
      <c r="C76" s="97">
        <v>739.66</v>
      </c>
      <c r="D76" s="109"/>
      <c r="E76" s="98"/>
      <c r="F76" s="109">
        <v>1992.59</v>
      </c>
      <c r="G76" s="98">
        <v>924</v>
      </c>
      <c r="H76" s="109"/>
      <c r="I76" s="99">
        <f>SUM(C76:H78)</f>
        <v>3656.25</v>
      </c>
    </row>
    <row r="77" spans="2:9">
      <c r="B77" s="259"/>
      <c r="C77" s="100"/>
      <c r="D77" s="110"/>
      <c r="E77" s="101"/>
      <c r="F77" s="110"/>
      <c r="G77" s="101"/>
      <c r="H77" s="110"/>
      <c r="I77" s="102"/>
    </row>
    <row r="78" spans="2:9">
      <c r="B78" s="259"/>
      <c r="C78" s="103"/>
      <c r="D78" s="111"/>
      <c r="E78" s="104"/>
      <c r="F78" s="111"/>
      <c r="G78" s="104"/>
      <c r="H78" s="111"/>
      <c r="I78" s="105"/>
    </row>
    <row r="79" spans="2:9">
      <c r="B79" s="259" t="s">
        <v>33</v>
      </c>
      <c r="C79" s="97"/>
      <c r="D79" s="109"/>
      <c r="E79" s="98"/>
      <c r="F79" s="109">
        <v>272.88</v>
      </c>
      <c r="G79" s="98"/>
      <c r="H79" s="109"/>
      <c r="I79" s="99">
        <f>SUM(C79:H81)</f>
        <v>272.88</v>
      </c>
    </row>
    <row r="80" spans="2:9">
      <c r="B80" s="259"/>
      <c r="C80" s="100"/>
      <c r="D80" s="110"/>
      <c r="E80" s="101"/>
      <c r="F80" s="110"/>
      <c r="G80" s="101"/>
      <c r="H80" s="110"/>
      <c r="I80" s="102"/>
    </row>
    <row r="81" spans="2:9">
      <c r="B81" s="259"/>
      <c r="C81" s="103"/>
      <c r="D81" s="111"/>
      <c r="E81" s="104"/>
      <c r="F81" s="111"/>
      <c r="G81" s="104"/>
      <c r="H81" s="111"/>
      <c r="I81" s="105"/>
    </row>
    <row r="82" spans="2:9">
      <c r="B82" s="259" t="s">
        <v>36</v>
      </c>
      <c r="C82" s="97">
        <v>338.77</v>
      </c>
      <c r="D82" s="109"/>
      <c r="E82" s="98"/>
      <c r="F82" s="109">
        <v>3405.69</v>
      </c>
      <c r="G82" s="98"/>
      <c r="H82" s="109"/>
      <c r="I82" s="99">
        <f>SUM(C82:H84)</f>
        <v>3744.46</v>
      </c>
    </row>
    <row r="83" spans="2:9">
      <c r="B83" s="259"/>
      <c r="C83" s="100"/>
      <c r="D83" s="110"/>
      <c r="E83" s="101"/>
      <c r="F83" s="110"/>
      <c r="G83" s="101"/>
      <c r="H83" s="110"/>
      <c r="I83" s="102"/>
    </row>
    <row r="84" spans="2:9">
      <c r="B84" s="259"/>
      <c r="C84" s="103"/>
      <c r="D84" s="111"/>
      <c r="E84" s="104"/>
      <c r="F84" s="111"/>
      <c r="G84" s="104"/>
      <c r="H84" s="111"/>
      <c r="I84" s="105"/>
    </row>
    <row r="85" spans="2:9">
      <c r="B85" s="257" t="s">
        <v>88</v>
      </c>
      <c r="C85" s="97">
        <v>236.04</v>
      </c>
      <c r="D85" s="109"/>
      <c r="E85" s="98"/>
      <c r="F85" s="109"/>
      <c r="G85" s="98">
        <v>576</v>
      </c>
      <c r="H85" s="109"/>
      <c r="I85" s="99">
        <f>SUM(C85:H87)</f>
        <v>812.04</v>
      </c>
    </row>
    <row r="86" spans="2:9">
      <c r="B86" s="257"/>
      <c r="C86" s="100"/>
      <c r="D86" s="110"/>
      <c r="E86" s="101"/>
      <c r="F86" s="110"/>
      <c r="G86" s="101"/>
      <c r="H86" s="110"/>
      <c r="I86" s="102"/>
    </row>
    <row r="87" spans="2:9">
      <c r="B87" s="257"/>
      <c r="C87" s="103"/>
      <c r="D87" s="111"/>
      <c r="E87" s="104"/>
      <c r="F87" s="111"/>
      <c r="G87" s="104"/>
      <c r="H87" s="111"/>
      <c r="I87" s="105"/>
    </row>
  </sheetData>
  <mergeCells count="29">
    <mergeCell ref="B17:B19"/>
    <mergeCell ref="B2:B4"/>
    <mergeCell ref="B5:B7"/>
    <mergeCell ref="B8:B10"/>
    <mergeCell ref="B11:B13"/>
    <mergeCell ref="B14:B16"/>
    <mergeCell ref="B49:B51"/>
    <mergeCell ref="B20:B22"/>
    <mergeCell ref="B23:B25"/>
    <mergeCell ref="B26:B28"/>
    <mergeCell ref="B29:B30"/>
    <mergeCell ref="B31:B33"/>
    <mergeCell ref="B34:B36"/>
    <mergeCell ref="B37:B39"/>
    <mergeCell ref="B40:B42"/>
    <mergeCell ref="B43:B45"/>
    <mergeCell ref="B46:B48"/>
    <mergeCell ref="B85:B87"/>
    <mergeCell ref="B52:B54"/>
    <mergeCell ref="B55:B57"/>
    <mergeCell ref="B58:B60"/>
    <mergeCell ref="B61:B63"/>
    <mergeCell ref="B64:B66"/>
    <mergeCell ref="B67:B69"/>
    <mergeCell ref="B70:B72"/>
    <mergeCell ref="B73:B75"/>
    <mergeCell ref="B76:B78"/>
    <mergeCell ref="B79:B81"/>
    <mergeCell ref="B82:B84"/>
  </mergeCells>
  <pageMargins left="0.70866141732283472" right="0.70866141732283472" top="0.74803149606299213" bottom="0.74803149606299213" header="0.31496062992125984" footer="0.31496062992125984"/>
  <pageSetup paperSize="8" scale="5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80"/>
  <sheetViews>
    <sheetView tabSelected="1" workbookViewId="0">
      <selection activeCell="B32" sqref="B32"/>
    </sheetView>
  </sheetViews>
  <sheetFormatPr defaultRowHeight="15"/>
  <cols>
    <col min="1" max="1" width="28" bestFit="1" customWidth="1"/>
    <col min="2" max="2" width="14" customWidth="1"/>
    <col min="3" max="3" width="18" customWidth="1"/>
  </cols>
  <sheetData>
    <row r="1" spans="1:3">
      <c r="A1" t="s">
        <v>78</v>
      </c>
    </row>
    <row r="2" spans="1:3">
      <c r="A2" s="9" t="s">
        <v>46</v>
      </c>
      <c r="B2" s="9" t="s">
        <v>77</v>
      </c>
      <c r="C2" s="9" t="s">
        <v>77</v>
      </c>
    </row>
    <row r="3" spans="1:3">
      <c r="A3" s="6" t="s">
        <v>76</v>
      </c>
      <c r="B3" s="6">
        <v>6.55</v>
      </c>
      <c r="C3" s="6"/>
    </row>
    <row r="4" spans="1:3">
      <c r="A4" s="6" t="s">
        <v>50</v>
      </c>
      <c r="B4" s="6">
        <v>6.5</v>
      </c>
      <c r="C4" s="6"/>
    </row>
    <row r="5" spans="1:3">
      <c r="A5" s="6" t="s">
        <v>21</v>
      </c>
      <c r="B5" s="6">
        <v>6.3</v>
      </c>
      <c r="C5" s="6"/>
    </row>
    <row r="6" spans="1:3">
      <c r="A6" s="8" t="s">
        <v>24</v>
      </c>
      <c r="B6" s="6">
        <v>7.2</v>
      </c>
      <c r="C6" s="6">
        <v>18.149999999999999</v>
      </c>
    </row>
    <row r="7" spans="1:3">
      <c r="A7" s="6" t="s">
        <v>29</v>
      </c>
      <c r="B7" s="6">
        <v>8</v>
      </c>
      <c r="C7" s="6"/>
    </row>
    <row r="8" spans="1:3">
      <c r="A8" s="6" t="s">
        <v>66</v>
      </c>
      <c r="B8" s="6">
        <v>9</v>
      </c>
      <c r="C8" s="6">
        <v>20</v>
      </c>
    </row>
    <row r="9" spans="1:3">
      <c r="A9" s="6" t="s">
        <v>75</v>
      </c>
      <c r="B9" s="6">
        <v>6.4</v>
      </c>
      <c r="C9" s="6">
        <v>19.399999999999999</v>
      </c>
    </row>
    <row r="10" spans="1:3">
      <c r="A10" s="6" t="s">
        <v>30</v>
      </c>
      <c r="B10" s="6">
        <v>6.1</v>
      </c>
      <c r="C10" s="6"/>
    </row>
    <row r="11" spans="1:3">
      <c r="A11" s="8" t="s">
        <v>62</v>
      </c>
      <c r="B11" s="7" t="s">
        <v>71</v>
      </c>
      <c r="C11" s="6"/>
    </row>
    <row r="12" spans="1:3">
      <c r="A12" s="6" t="s">
        <v>74</v>
      </c>
      <c r="B12" s="7" t="s">
        <v>71</v>
      </c>
      <c r="C12" s="6"/>
    </row>
    <row r="13" spans="1:3">
      <c r="A13" s="6" t="s">
        <v>60</v>
      </c>
      <c r="B13" s="7" t="s">
        <v>71</v>
      </c>
      <c r="C13" s="6"/>
    </row>
    <row r="14" spans="1:3">
      <c r="A14" s="6" t="s">
        <v>33</v>
      </c>
      <c r="B14" s="7" t="s">
        <v>71</v>
      </c>
      <c r="C14" s="6">
        <v>18</v>
      </c>
    </row>
    <row r="15" spans="1:3">
      <c r="A15" s="6"/>
      <c r="B15" s="6"/>
      <c r="C15" s="6"/>
    </row>
    <row r="16" spans="1:3">
      <c r="A16" s="6"/>
      <c r="B16" s="6"/>
      <c r="C16" s="6"/>
    </row>
    <row r="17" spans="1:3">
      <c r="A17" s="9" t="s">
        <v>45</v>
      </c>
      <c r="B17" s="6"/>
      <c r="C17" s="6"/>
    </row>
    <row r="18" spans="1:3">
      <c r="A18" s="8" t="s">
        <v>15</v>
      </c>
      <c r="B18" s="7">
        <v>7</v>
      </c>
      <c r="C18" s="6"/>
    </row>
    <row r="19" spans="1:3">
      <c r="A19" s="6" t="s">
        <v>73</v>
      </c>
      <c r="B19" s="7">
        <v>8.5</v>
      </c>
      <c r="C19" s="6"/>
    </row>
    <row r="20" spans="1:3">
      <c r="A20" s="6" t="s">
        <v>49</v>
      </c>
      <c r="B20" s="7">
        <v>8.5500000000000007</v>
      </c>
      <c r="C20" s="6"/>
    </row>
    <row r="21" spans="1:3">
      <c r="A21" s="6" t="s">
        <v>16</v>
      </c>
      <c r="B21" s="7">
        <v>6.45</v>
      </c>
      <c r="C21" s="6"/>
    </row>
    <row r="22" spans="1:3">
      <c r="A22" s="6" t="s">
        <v>13</v>
      </c>
      <c r="B22" s="7">
        <v>9</v>
      </c>
      <c r="C22" s="6">
        <v>20</v>
      </c>
    </row>
    <row r="23" spans="1:3">
      <c r="A23" s="6" t="s">
        <v>72</v>
      </c>
      <c r="B23" s="7">
        <v>6.55</v>
      </c>
      <c r="C23" s="6"/>
    </row>
    <row r="24" spans="1:3">
      <c r="A24" s="6" t="s">
        <v>57</v>
      </c>
      <c r="B24" s="7" t="s">
        <v>71</v>
      </c>
      <c r="C24" s="6"/>
    </row>
    <row r="25" spans="1:3">
      <c r="A25" s="6" t="s">
        <v>59</v>
      </c>
      <c r="B25" s="7">
        <v>5.3</v>
      </c>
      <c r="C25" s="6">
        <v>19.3</v>
      </c>
    </row>
    <row r="26" spans="1:3">
      <c r="A26" s="8" t="s">
        <v>197</v>
      </c>
      <c r="B26" s="7" t="s">
        <v>71</v>
      </c>
      <c r="C26" s="6"/>
    </row>
    <row r="27" spans="1:3">
      <c r="A27" s="6" t="s">
        <v>19</v>
      </c>
      <c r="B27" s="7" t="s">
        <v>71</v>
      </c>
      <c r="C27" s="6"/>
    </row>
    <row r="28" spans="1:3">
      <c r="A28" s="6" t="s">
        <v>36</v>
      </c>
      <c r="B28" s="7" t="s">
        <v>71</v>
      </c>
      <c r="C28" s="6"/>
    </row>
    <row r="29" spans="1:3">
      <c r="A29" s="6" t="s">
        <v>34</v>
      </c>
      <c r="B29" s="7" t="s">
        <v>71</v>
      </c>
      <c r="C29" s="6"/>
    </row>
    <row r="30" spans="1:3">
      <c r="A30" s="9" t="s">
        <v>44</v>
      </c>
      <c r="B30" s="6"/>
      <c r="C30" s="6"/>
    </row>
    <row r="31" spans="1:3">
      <c r="A31" s="8" t="s">
        <v>9</v>
      </c>
      <c r="B31" s="7">
        <v>7.3</v>
      </c>
      <c r="C31" s="6"/>
    </row>
    <row r="32" spans="1:3">
      <c r="A32" s="6" t="s">
        <v>7</v>
      </c>
      <c r="B32" s="7">
        <v>7.4</v>
      </c>
      <c r="C32" s="6">
        <v>19.25</v>
      </c>
    </row>
    <row r="33" spans="1:3">
      <c r="A33" s="8" t="s">
        <v>56</v>
      </c>
      <c r="B33" s="7" t="s">
        <v>71</v>
      </c>
      <c r="C33" s="6">
        <v>19.5</v>
      </c>
    </row>
    <row r="34" spans="1:3">
      <c r="A34" s="6" t="s">
        <v>54</v>
      </c>
      <c r="B34" s="7">
        <v>8</v>
      </c>
      <c r="C34" s="6">
        <v>18.350000000000001</v>
      </c>
    </row>
    <row r="35" spans="1:3">
      <c r="A35" s="6" t="s">
        <v>55</v>
      </c>
      <c r="B35" s="7" t="s">
        <v>71</v>
      </c>
      <c r="C35" s="6"/>
    </row>
    <row r="36" spans="1:3">
      <c r="A36" s="6"/>
      <c r="B36" s="6"/>
      <c r="C36" s="6"/>
    </row>
    <row r="37" spans="1:3">
      <c r="A37" s="6"/>
      <c r="B37" s="6"/>
      <c r="C37" s="6"/>
    </row>
    <row r="38" spans="1:3">
      <c r="A38" s="6"/>
      <c r="B38" s="6"/>
      <c r="C38" s="6"/>
    </row>
    <row r="39" spans="1:3">
      <c r="A39" s="6"/>
      <c r="B39" s="6"/>
      <c r="C39" s="6"/>
    </row>
    <row r="40" spans="1:3">
      <c r="A40" s="6"/>
      <c r="B40" s="6"/>
      <c r="C40" s="6"/>
    </row>
    <row r="41" spans="1:3">
      <c r="A41" s="6"/>
      <c r="B41" s="6"/>
      <c r="C41" s="6"/>
    </row>
    <row r="42" spans="1:3">
      <c r="A42" s="6"/>
      <c r="B42" s="6"/>
      <c r="C42" s="6"/>
    </row>
    <row r="43" spans="1:3">
      <c r="A43" s="6"/>
      <c r="B43" s="6"/>
      <c r="C43" s="6"/>
    </row>
    <row r="44" spans="1:3">
      <c r="A44" s="6"/>
      <c r="B44" s="6"/>
      <c r="C44" s="6"/>
    </row>
    <row r="45" spans="1:3">
      <c r="A45" s="6"/>
      <c r="B45" s="6"/>
      <c r="C45" s="6"/>
    </row>
    <row r="46" spans="1:3">
      <c r="A46" s="6"/>
      <c r="B46" s="6"/>
      <c r="C46" s="6"/>
    </row>
    <row r="47" spans="1:3">
      <c r="A47" s="6"/>
      <c r="B47" s="6"/>
      <c r="C47" s="6"/>
    </row>
    <row r="48" spans="1:3">
      <c r="A48" s="6"/>
      <c r="B48" s="6"/>
      <c r="C48" s="6"/>
    </row>
    <row r="49" spans="1:3">
      <c r="A49" s="6"/>
      <c r="B49" s="6"/>
      <c r="C49" s="6"/>
    </row>
    <row r="50" spans="1:3">
      <c r="A50" s="6"/>
      <c r="B50" s="6"/>
      <c r="C50" s="6"/>
    </row>
    <row r="51" spans="1:3">
      <c r="A51" s="6"/>
      <c r="B51" s="6"/>
      <c r="C51" s="6"/>
    </row>
    <row r="52" spans="1:3">
      <c r="A52" s="6"/>
      <c r="B52" s="6"/>
      <c r="C52" s="6"/>
    </row>
    <row r="53" spans="1:3">
      <c r="A53" s="6"/>
      <c r="B53" s="6"/>
      <c r="C53" s="6"/>
    </row>
    <row r="54" spans="1:3">
      <c r="A54" s="6"/>
      <c r="B54" s="6"/>
      <c r="C54" s="6"/>
    </row>
    <row r="55" spans="1:3">
      <c r="A55" s="6"/>
      <c r="B55" s="6"/>
      <c r="C55" s="6"/>
    </row>
    <row r="56" spans="1:3">
      <c r="A56" s="6"/>
      <c r="B56" s="6"/>
      <c r="C56" s="6"/>
    </row>
    <row r="57" spans="1:3">
      <c r="A57" s="6"/>
      <c r="B57" s="6"/>
      <c r="C57" s="6"/>
    </row>
    <row r="58" spans="1:3">
      <c r="A58" s="6"/>
      <c r="B58" s="6"/>
      <c r="C58" s="6"/>
    </row>
    <row r="59" spans="1:3">
      <c r="A59" s="6"/>
      <c r="B59" s="6"/>
      <c r="C59" s="6"/>
    </row>
    <row r="60" spans="1:3">
      <c r="A60" s="6"/>
      <c r="B60" s="6"/>
      <c r="C60" s="6"/>
    </row>
    <row r="61" spans="1:3">
      <c r="A61" s="6"/>
      <c r="B61" s="6"/>
      <c r="C61" s="6"/>
    </row>
    <row r="62" spans="1:3">
      <c r="A62" s="6"/>
      <c r="B62" s="6"/>
      <c r="C62" s="6"/>
    </row>
    <row r="63" spans="1:3">
      <c r="A63" s="6"/>
      <c r="B63" s="6"/>
      <c r="C63" s="6"/>
    </row>
    <row r="64" spans="1:3">
      <c r="A64" s="6"/>
      <c r="B64" s="6"/>
      <c r="C64" s="6"/>
    </row>
    <row r="65" spans="1:3">
      <c r="A65" s="6"/>
      <c r="B65" s="6"/>
      <c r="C65" s="6"/>
    </row>
    <row r="66" spans="1:3">
      <c r="A66" s="6"/>
      <c r="B66" s="6"/>
      <c r="C66" s="6"/>
    </row>
    <row r="67" spans="1:3">
      <c r="A67" s="6"/>
      <c r="B67" s="6"/>
      <c r="C67" s="6"/>
    </row>
    <row r="68" spans="1:3">
      <c r="A68" s="6"/>
      <c r="B68" s="6"/>
      <c r="C68" s="6"/>
    </row>
    <row r="69" spans="1:3">
      <c r="A69" s="6"/>
      <c r="B69" s="6"/>
      <c r="C69" s="6"/>
    </row>
    <row r="70" spans="1:3">
      <c r="A70" s="6"/>
      <c r="B70" s="6"/>
      <c r="C70" s="6"/>
    </row>
    <row r="71" spans="1:3">
      <c r="A71" s="6"/>
      <c r="B71" s="6"/>
      <c r="C71" s="6"/>
    </row>
    <row r="72" spans="1:3">
      <c r="A72" s="6"/>
      <c r="B72" s="6"/>
      <c r="C72" s="6"/>
    </row>
    <row r="73" spans="1:3">
      <c r="A73" s="6"/>
      <c r="B73" s="6"/>
      <c r="C73" s="6"/>
    </row>
    <row r="74" spans="1:3">
      <c r="A74" s="6"/>
      <c r="B74" s="6"/>
      <c r="C74" s="6"/>
    </row>
    <row r="75" spans="1:3">
      <c r="A75" s="6"/>
      <c r="B75" s="6"/>
      <c r="C75" s="6"/>
    </row>
    <row r="76" spans="1:3">
      <c r="A76" s="6"/>
      <c r="B76" s="6"/>
      <c r="C76" s="6"/>
    </row>
    <row r="77" spans="1:3">
      <c r="A77" s="6"/>
      <c r="B77" s="6"/>
      <c r="C77" s="6"/>
    </row>
    <row r="78" spans="1:3">
      <c r="A78" s="6"/>
      <c r="B78" s="6"/>
      <c r="C78" s="6"/>
    </row>
    <row r="79" spans="1:3">
      <c r="A79" s="6"/>
      <c r="B79" s="6"/>
      <c r="C79" s="6"/>
    </row>
    <row r="80" spans="1:3">
      <c r="A80" s="6"/>
      <c r="B80" s="6"/>
      <c r="C80" s="6"/>
    </row>
  </sheetData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37"/>
  <sheetViews>
    <sheetView tabSelected="1" workbookViewId="0">
      <pane xSplit="1" topLeftCell="B1" activePane="topRight" state="frozen"/>
      <selection activeCell="B32" sqref="B32"/>
      <selection pane="topRight" activeCell="B32" sqref="B32"/>
    </sheetView>
  </sheetViews>
  <sheetFormatPr defaultRowHeight="15"/>
  <cols>
    <col min="1" max="1" width="21.625" customWidth="1"/>
    <col min="2" max="2" width="11.375" customWidth="1"/>
    <col min="3" max="3" width="8.625" bestFit="1" customWidth="1"/>
    <col min="4" max="4" width="10.125" customWidth="1"/>
    <col min="5" max="5" width="10.625" bestFit="1" customWidth="1"/>
    <col min="6" max="6" width="9.625" bestFit="1" customWidth="1"/>
    <col min="7" max="7" width="10.625" bestFit="1" customWidth="1"/>
    <col min="8" max="8" width="9.625" bestFit="1" customWidth="1"/>
    <col min="9" max="9" width="10.625" bestFit="1" customWidth="1"/>
    <col min="10" max="10" width="9.625" bestFit="1" customWidth="1"/>
    <col min="11" max="11" width="10.625" bestFit="1" customWidth="1"/>
    <col min="12" max="12" width="9.625" bestFit="1" customWidth="1"/>
    <col min="13" max="13" width="10.625" bestFit="1" customWidth="1"/>
    <col min="14" max="14" width="10.625" hidden="1" customWidth="1"/>
    <col min="15" max="15" width="10.625" bestFit="1" customWidth="1"/>
    <col min="16" max="16" width="9.625" bestFit="1" customWidth="1"/>
    <col min="17" max="17" width="10.625" bestFit="1" customWidth="1"/>
    <col min="18" max="18" width="9.625" bestFit="1" customWidth="1"/>
    <col min="19" max="19" width="10.625" bestFit="1" customWidth="1"/>
    <col min="21" max="21" width="10.625" bestFit="1" customWidth="1"/>
    <col min="23" max="23" width="10.625" bestFit="1" customWidth="1"/>
    <col min="25" max="25" width="10.625" bestFit="1" customWidth="1"/>
    <col min="27" max="27" width="10.625" bestFit="1" customWidth="1"/>
    <col min="29" max="29" width="10.625" bestFit="1" customWidth="1"/>
    <col min="31" max="31" width="10.625" bestFit="1" customWidth="1"/>
    <col min="34" max="34" width="16.875" bestFit="1" customWidth="1"/>
    <col min="35" max="35" width="17.625" bestFit="1" customWidth="1"/>
    <col min="36" max="36" width="14" bestFit="1" customWidth="1"/>
    <col min="37" max="37" width="16.375" customWidth="1"/>
  </cols>
  <sheetData>
    <row r="1" spans="1:37">
      <c r="E1" s="12">
        <v>42098</v>
      </c>
      <c r="F1" s="11"/>
      <c r="G1" s="12">
        <v>42099</v>
      </c>
      <c r="H1" s="12"/>
      <c r="I1" s="12">
        <v>42100</v>
      </c>
      <c r="J1" s="12"/>
      <c r="K1" s="12">
        <v>42101</v>
      </c>
      <c r="L1" s="12"/>
      <c r="M1" s="12">
        <v>42102</v>
      </c>
      <c r="N1" s="12"/>
      <c r="O1" s="12">
        <v>42103</v>
      </c>
      <c r="P1" s="12"/>
      <c r="Q1" s="12">
        <v>42104</v>
      </c>
      <c r="R1" s="11"/>
      <c r="S1" s="12">
        <v>42143</v>
      </c>
      <c r="T1" s="11"/>
      <c r="U1" s="12">
        <v>42144</v>
      </c>
      <c r="V1" s="11"/>
      <c r="W1" s="12">
        <v>42145</v>
      </c>
      <c r="X1" s="11"/>
      <c r="Y1" s="12">
        <v>42146</v>
      </c>
      <c r="Z1" s="11"/>
      <c r="AA1" s="12">
        <v>42147</v>
      </c>
      <c r="AB1" s="11"/>
      <c r="AC1" s="12">
        <v>42148</v>
      </c>
      <c r="AD1" s="11"/>
      <c r="AE1" s="12">
        <v>42149</v>
      </c>
      <c r="AF1" s="11"/>
      <c r="AH1" s="14" t="s">
        <v>79</v>
      </c>
      <c r="AI1" s="14" t="s">
        <v>80</v>
      </c>
      <c r="AJ1" s="14" t="s">
        <v>85</v>
      </c>
      <c r="AK1" s="14" t="s">
        <v>86</v>
      </c>
    </row>
    <row r="2" spans="1:37" ht="30">
      <c r="A2" s="11" t="s">
        <v>53</v>
      </c>
      <c r="B2" s="11" t="s">
        <v>52</v>
      </c>
      <c r="C2" s="13" t="s">
        <v>82</v>
      </c>
      <c r="D2" s="13" t="s">
        <v>81</v>
      </c>
      <c r="E2" s="11" t="s">
        <v>69</v>
      </c>
      <c r="F2" s="12" t="s">
        <v>68</v>
      </c>
      <c r="G2" s="11" t="s">
        <v>70</v>
      </c>
      <c r="H2" s="11" t="s">
        <v>68</v>
      </c>
      <c r="I2" s="11" t="s">
        <v>69</v>
      </c>
      <c r="J2" s="11" t="s">
        <v>68</v>
      </c>
      <c r="K2" s="11" t="s">
        <v>69</v>
      </c>
      <c r="L2" s="11" t="s">
        <v>68</v>
      </c>
      <c r="M2" s="11" t="s">
        <v>69</v>
      </c>
      <c r="N2" s="11" t="s">
        <v>68</v>
      </c>
      <c r="O2" s="11" t="s">
        <v>69</v>
      </c>
      <c r="P2" s="11" t="s">
        <v>68</v>
      </c>
      <c r="Q2" s="11" t="s">
        <v>69</v>
      </c>
      <c r="R2" s="11" t="s">
        <v>68</v>
      </c>
      <c r="S2" s="11" t="s">
        <v>69</v>
      </c>
      <c r="T2" s="11" t="s">
        <v>68</v>
      </c>
      <c r="U2" s="11" t="s">
        <v>69</v>
      </c>
      <c r="V2" s="11" t="s">
        <v>68</v>
      </c>
      <c r="W2" s="11" t="s">
        <v>69</v>
      </c>
      <c r="X2" s="11" t="s">
        <v>68</v>
      </c>
      <c r="Y2" s="11" t="s">
        <v>69</v>
      </c>
      <c r="Z2" s="11" t="s">
        <v>68</v>
      </c>
      <c r="AA2" s="11" t="s">
        <v>69</v>
      </c>
      <c r="AB2" s="11" t="s">
        <v>68</v>
      </c>
      <c r="AC2" s="11" t="s">
        <v>69</v>
      </c>
      <c r="AD2" s="11" t="s">
        <v>68</v>
      </c>
      <c r="AE2" s="11" t="s">
        <v>69</v>
      </c>
      <c r="AF2" s="11" t="s">
        <v>68</v>
      </c>
      <c r="AH2" s="5">
        <v>0.41666666666666669</v>
      </c>
    </row>
    <row r="3" spans="1:37">
      <c r="A3" t="s">
        <v>67</v>
      </c>
      <c r="B3" t="s">
        <v>46</v>
      </c>
      <c r="C3" t="s">
        <v>83</v>
      </c>
      <c r="D3">
        <v>1</v>
      </c>
      <c r="E3" s="5">
        <v>0.44097222222222227</v>
      </c>
      <c r="F3" s="5">
        <v>0.73263888888888884</v>
      </c>
      <c r="G3" s="5">
        <v>0.4513888888888889</v>
      </c>
      <c r="H3" s="5">
        <v>0.76388888888888884</v>
      </c>
      <c r="I3" s="5">
        <v>0.45833333333333331</v>
      </c>
      <c r="J3" s="5">
        <v>0.77777777777777779</v>
      </c>
      <c r="K3" s="5">
        <v>0.45833333333333331</v>
      </c>
      <c r="L3" s="5">
        <v>0.77777777777777779</v>
      </c>
      <c r="M3" s="5">
        <v>0.46875</v>
      </c>
      <c r="N3" s="5">
        <v>0.8125</v>
      </c>
      <c r="O3" s="5">
        <v>0.4548611111111111</v>
      </c>
      <c r="P3" s="5">
        <v>0.74305555555555547</v>
      </c>
      <c r="Q3" s="5">
        <v>0.44444444444444442</v>
      </c>
      <c r="R3" s="5">
        <v>0.73263888888888884</v>
      </c>
      <c r="S3" s="5">
        <v>0.4513888888888889</v>
      </c>
      <c r="T3" s="5">
        <v>0.73611111111111116</v>
      </c>
      <c r="U3" s="5">
        <v>0.44097222222222227</v>
      </c>
      <c r="V3" s="5">
        <v>0.73611111111111116</v>
      </c>
      <c r="W3" s="5">
        <v>0.44097222222222227</v>
      </c>
      <c r="X3" s="5">
        <v>0.73611111111111116</v>
      </c>
      <c r="Y3" s="5">
        <v>0.44791666666666669</v>
      </c>
      <c r="Z3" s="5">
        <v>0.73611111111111116</v>
      </c>
      <c r="AA3" s="5">
        <v>0.4513888888888889</v>
      </c>
      <c r="AB3" s="5">
        <v>0.73958333333333337</v>
      </c>
      <c r="AC3" s="5">
        <v>0.4513888888888889</v>
      </c>
      <c r="AD3" s="5">
        <v>0.73611111111111116</v>
      </c>
      <c r="AE3" s="5">
        <v>0.44444444444444442</v>
      </c>
      <c r="AF3" s="5">
        <v>0.73958333333333337</v>
      </c>
      <c r="AH3" s="5">
        <f>AVERAGE(E3,G3,I3,K3,M3,O3,Q3,S3,U3,W3,Y3,AA3,AC3,AE3)</f>
        <v>0.45039682539682546</v>
      </c>
      <c r="AI3" s="5">
        <f t="shared" ref="AI3:AI18" si="0">AVERAGE(A3,F3,H3,J3,L3,P3,R3,T3,V3,X3,Z3,AB3,AD3,AF3)</f>
        <v>0.7451923076923076</v>
      </c>
      <c r="AJ3" s="5">
        <f>AI3-AH3</f>
        <v>0.29479548229548214</v>
      </c>
      <c r="AK3" s="5">
        <f>AH3-AH2</f>
        <v>3.3730158730158777E-2</v>
      </c>
    </row>
    <row r="4" spans="1:37">
      <c r="A4" t="s">
        <v>66</v>
      </c>
      <c r="B4" t="s">
        <v>46</v>
      </c>
      <c r="C4" t="s">
        <v>83</v>
      </c>
      <c r="D4">
        <v>2</v>
      </c>
      <c r="E4" s="5">
        <v>0.4513888888888889</v>
      </c>
      <c r="F4" s="5">
        <v>0.72569444444444453</v>
      </c>
      <c r="G4" s="5">
        <v>0.46180555555555558</v>
      </c>
      <c r="H4" s="5">
        <v>0.75347222222222221</v>
      </c>
      <c r="I4" s="5">
        <v>0.46875</v>
      </c>
      <c r="J4" t="s">
        <v>64</v>
      </c>
      <c r="K4" s="5">
        <v>0.46875</v>
      </c>
      <c r="L4" t="s">
        <v>58</v>
      </c>
      <c r="M4" s="5">
        <v>0.4861111111111111</v>
      </c>
      <c r="N4" t="s">
        <v>58</v>
      </c>
      <c r="O4" s="5">
        <v>0.46875</v>
      </c>
      <c r="P4" s="5">
        <v>0.73611111111111116</v>
      </c>
      <c r="Q4" s="5">
        <v>0.45833333333333331</v>
      </c>
      <c r="R4" s="5">
        <v>0.72222222222222221</v>
      </c>
      <c r="S4" s="5">
        <v>0.45833333333333331</v>
      </c>
      <c r="T4" s="5">
        <v>0.72916666666666663</v>
      </c>
      <c r="U4" s="5">
        <v>0.4513888888888889</v>
      </c>
      <c r="V4" s="5">
        <v>0.72916666666666663</v>
      </c>
      <c r="W4" s="5">
        <v>0.44791666666666669</v>
      </c>
      <c r="X4" s="5">
        <v>0.72916666666666663</v>
      </c>
      <c r="Y4" s="5">
        <v>0.4548611111111111</v>
      </c>
      <c r="Z4" s="5">
        <v>0.72916666666666663</v>
      </c>
      <c r="AA4" s="5">
        <v>0.45833333333333331</v>
      </c>
      <c r="AB4" s="5">
        <v>0.73263888888888884</v>
      </c>
      <c r="AC4" s="5">
        <v>0.46527777777777773</v>
      </c>
      <c r="AD4" s="5">
        <v>0.73263888888888884</v>
      </c>
      <c r="AE4" s="5">
        <v>0.4513888888888889</v>
      </c>
      <c r="AF4" s="5">
        <v>0.73611111111111116</v>
      </c>
      <c r="AH4" s="5">
        <f t="shared" ref="AH4:AH34" si="1">AVERAGE(E4,G4,I4,K4,M4,O4,Q4,S4,U4,W4,Y4,AA4,AC4,AE4)</f>
        <v>0.46081349206349209</v>
      </c>
      <c r="AI4" s="5">
        <f t="shared" si="0"/>
        <v>0.73232323232323226</v>
      </c>
      <c r="AJ4" s="5">
        <f t="shared" ref="AJ4:AJ34" si="2">AI4-AH4</f>
        <v>0.27150974025974017</v>
      </c>
      <c r="AK4" s="5">
        <f>AH4-AH3</f>
        <v>1.041666666666663E-2</v>
      </c>
    </row>
    <row r="5" spans="1:37">
      <c r="A5" t="s">
        <v>65</v>
      </c>
      <c r="B5" t="s">
        <v>46</v>
      </c>
      <c r="C5" t="s">
        <v>83</v>
      </c>
      <c r="D5">
        <v>3</v>
      </c>
      <c r="E5" s="5">
        <v>0.46180555555555558</v>
      </c>
      <c r="F5" s="5">
        <v>0.71875</v>
      </c>
      <c r="G5" s="5">
        <v>0.47569444444444442</v>
      </c>
      <c r="H5" s="5">
        <v>0.75</v>
      </c>
      <c r="I5" s="5">
        <v>0.4826388888888889</v>
      </c>
      <c r="J5" t="s">
        <v>64</v>
      </c>
      <c r="K5" s="5">
        <v>0.4861111111111111</v>
      </c>
      <c r="L5" t="s">
        <v>58</v>
      </c>
      <c r="M5" s="5">
        <v>0.50694444444444442</v>
      </c>
      <c r="N5" t="s">
        <v>58</v>
      </c>
      <c r="O5" s="5">
        <v>0.48958333333333331</v>
      </c>
      <c r="P5" s="5">
        <v>0.81597222222222221</v>
      </c>
      <c r="Q5" s="5">
        <v>0.46875</v>
      </c>
      <c r="R5" s="5">
        <v>0.71527777777777779</v>
      </c>
      <c r="S5" s="5">
        <v>0.46875</v>
      </c>
      <c r="T5" s="5">
        <v>0.72222222222222221</v>
      </c>
      <c r="U5" s="5">
        <v>0.46527777777777773</v>
      </c>
      <c r="V5" s="5">
        <v>0.72222222222222221</v>
      </c>
      <c r="W5" s="5">
        <v>0.46180555555555558</v>
      </c>
      <c r="X5" s="5">
        <v>0.72222222222222221</v>
      </c>
      <c r="Y5" s="5">
        <v>0.46527777777777773</v>
      </c>
      <c r="Z5" s="5">
        <v>0.72222222222222221</v>
      </c>
      <c r="AA5" s="5">
        <v>0.47569444444444442</v>
      </c>
      <c r="AB5" s="5">
        <v>0.72222222222222221</v>
      </c>
      <c r="AC5" s="5">
        <v>0.4826388888888889</v>
      </c>
      <c r="AD5" s="5">
        <v>0.72569444444444453</v>
      </c>
      <c r="AE5" s="5">
        <v>0.47222222222222227</v>
      </c>
      <c r="AF5" s="5">
        <v>0.73263888888888884</v>
      </c>
      <c r="AH5" s="5">
        <f t="shared" si="1"/>
        <v>0.4759424603174604</v>
      </c>
      <c r="AI5" s="5">
        <f t="shared" si="0"/>
        <v>0.73358585858585856</v>
      </c>
      <c r="AJ5" s="5">
        <f t="shared" si="2"/>
        <v>0.25764339826839816</v>
      </c>
      <c r="AK5" s="5">
        <f t="shared" ref="AK5:AK34" si="3">AH5-AH4</f>
        <v>1.5128968253968311E-2</v>
      </c>
    </row>
    <row r="6" spans="1:37">
      <c r="A6" t="s">
        <v>29</v>
      </c>
      <c r="B6" t="s">
        <v>46</v>
      </c>
      <c r="C6" t="s">
        <v>83</v>
      </c>
      <c r="D6">
        <v>4</v>
      </c>
      <c r="E6" s="5">
        <v>0.47222222222222227</v>
      </c>
      <c r="F6" s="5">
        <v>0.70486111111111116</v>
      </c>
      <c r="G6" s="5">
        <v>0.48958333333333331</v>
      </c>
      <c r="H6" s="5">
        <v>0.74305555555555547</v>
      </c>
      <c r="I6" s="5">
        <v>0.49305555555555558</v>
      </c>
      <c r="J6" t="s">
        <v>64</v>
      </c>
      <c r="K6" s="5">
        <v>0.50694444444444442</v>
      </c>
      <c r="L6" t="s">
        <v>58</v>
      </c>
      <c r="M6" s="5">
        <v>0.52430555555555558</v>
      </c>
      <c r="N6" t="s">
        <v>58</v>
      </c>
      <c r="O6" s="5">
        <v>0.50347222222222221</v>
      </c>
      <c r="P6" s="5">
        <v>0.71875</v>
      </c>
      <c r="Q6" s="5">
        <v>0.47916666666666669</v>
      </c>
      <c r="R6" s="5">
        <v>0.70138888888888884</v>
      </c>
      <c r="S6" s="5">
        <v>0.4826388888888889</v>
      </c>
      <c r="T6" s="5">
        <v>0.71180555555555547</v>
      </c>
      <c r="U6" s="5">
        <v>0.47569444444444442</v>
      </c>
      <c r="V6" s="5">
        <v>0.70833333333333337</v>
      </c>
      <c r="W6" s="5">
        <v>0.47222222222222227</v>
      </c>
      <c r="X6" s="5">
        <v>0.70833333333333337</v>
      </c>
      <c r="Y6" s="5">
        <v>0.47222222222222227</v>
      </c>
      <c r="Z6" s="5">
        <v>0.70833333333333337</v>
      </c>
      <c r="AA6" s="5">
        <v>0.49305555555555558</v>
      </c>
      <c r="AB6" s="5">
        <v>0.67708333333333337</v>
      </c>
      <c r="AC6" s="5">
        <v>0.5</v>
      </c>
      <c r="AD6" s="5">
        <v>0.71527777777777779</v>
      </c>
      <c r="AE6" s="5">
        <v>0.4861111111111111</v>
      </c>
      <c r="AF6" s="5">
        <v>0.72222222222222221</v>
      </c>
      <c r="AH6" s="5">
        <f t="shared" si="1"/>
        <v>0.48933531746031739</v>
      </c>
      <c r="AI6" s="5">
        <f t="shared" si="0"/>
        <v>0.71085858585858575</v>
      </c>
      <c r="AJ6" s="5">
        <f t="shared" si="2"/>
        <v>0.22152326839826836</v>
      </c>
      <c r="AK6" s="5">
        <f t="shared" si="3"/>
        <v>1.3392857142856984E-2</v>
      </c>
    </row>
    <row r="7" spans="1:37">
      <c r="A7" t="s">
        <v>63</v>
      </c>
      <c r="B7" t="s">
        <v>46</v>
      </c>
      <c r="C7" t="s">
        <v>83</v>
      </c>
      <c r="D7">
        <v>5</v>
      </c>
      <c r="E7" s="5">
        <v>0.4861111111111111</v>
      </c>
      <c r="F7" s="5">
        <v>0.74305555555555547</v>
      </c>
      <c r="G7" s="5">
        <v>0.51041666666666663</v>
      </c>
      <c r="H7" s="5">
        <v>0.77430555555555547</v>
      </c>
      <c r="I7" s="5">
        <v>0.51388888888888895</v>
      </c>
      <c r="J7" s="5">
        <v>0.79166666666666663</v>
      </c>
      <c r="K7" s="5">
        <v>0.52777777777777779</v>
      </c>
      <c r="L7" s="5">
        <v>0.79166666666666663</v>
      </c>
      <c r="M7" s="5">
        <v>0.54166666666666663</v>
      </c>
      <c r="N7" t="s">
        <v>58</v>
      </c>
      <c r="O7" s="5">
        <v>0.52083333333333337</v>
      </c>
      <c r="P7" s="5">
        <v>0.75</v>
      </c>
      <c r="Q7" s="5">
        <v>0.49652777777777773</v>
      </c>
      <c r="R7" s="5">
        <v>0.74652777777777779</v>
      </c>
      <c r="S7" s="5">
        <v>0.5</v>
      </c>
      <c r="T7" s="5">
        <v>0.75</v>
      </c>
      <c r="U7" s="5">
        <v>0.49305555555555558</v>
      </c>
      <c r="V7" s="5">
        <v>0.75</v>
      </c>
      <c r="W7" s="5">
        <v>0.48958333333333331</v>
      </c>
      <c r="X7" s="5">
        <v>0.75</v>
      </c>
      <c r="Y7" s="5">
        <v>0.49305555555555558</v>
      </c>
      <c r="Z7" s="5">
        <v>0.75</v>
      </c>
      <c r="AA7" s="5">
        <v>0.50694444444444442</v>
      </c>
      <c r="AB7" s="5">
        <v>0.75</v>
      </c>
      <c r="AC7" s="5">
        <v>0.51388888888888895</v>
      </c>
      <c r="AD7" s="5">
        <v>0.75</v>
      </c>
      <c r="AE7" s="5">
        <v>0.50694444444444442</v>
      </c>
      <c r="AF7" s="5">
        <v>0.75347222222222221</v>
      </c>
      <c r="AH7" s="5">
        <f t="shared" si="1"/>
        <v>0.50719246031746024</v>
      </c>
      <c r="AI7" s="5">
        <f t="shared" si="0"/>
        <v>0.75774572649572636</v>
      </c>
      <c r="AJ7" s="5">
        <f t="shared" si="2"/>
        <v>0.25055326617826612</v>
      </c>
      <c r="AK7" s="5">
        <f t="shared" si="3"/>
        <v>1.7857142857142849E-2</v>
      </c>
    </row>
    <row r="8" spans="1:37">
      <c r="A8" t="s">
        <v>22</v>
      </c>
      <c r="B8" t="s">
        <v>46</v>
      </c>
      <c r="C8" t="s">
        <v>83</v>
      </c>
      <c r="D8">
        <v>6</v>
      </c>
      <c r="E8" s="5">
        <v>0.49305555555555558</v>
      </c>
      <c r="F8" s="5">
        <v>0.75</v>
      </c>
      <c r="G8" s="5">
        <v>0.51736111111111105</v>
      </c>
      <c r="H8" s="5">
        <v>0.78125</v>
      </c>
      <c r="I8" s="5">
        <v>0.52430555555555558</v>
      </c>
      <c r="J8" s="5">
        <v>0.79861111111111116</v>
      </c>
      <c r="K8" s="5">
        <v>0.52083333333333337</v>
      </c>
      <c r="L8" s="5">
        <v>0.79861111111111116</v>
      </c>
      <c r="M8" s="5">
        <v>0.54861111111111105</v>
      </c>
      <c r="N8" s="5">
        <v>0.82638888888888884</v>
      </c>
      <c r="O8" s="5">
        <v>0.53125</v>
      </c>
      <c r="P8" s="5">
        <v>0.75069444444444444</v>
      </c>
      <c r="Q8" s="5">
        <v>0.50694444444444442</v>
      </c>
      <c r="R8" s="5">
        <v>0.75694444444444453</v>
      </c>
      <c r="S8" s="5">
        <v>0.51041666666666663</v>
      </c>
      <c r="T8" s="5">
        <v>0.75694444444444453</v>
      </c>
      <c r="U8" s="5">
        <v>0.5</v>
      </c>
      <c r="V8" s="5">
        <v>0.75694444444444453</v>
      </c>
      <c r="W8" s="5">
        <v>0.5</v>
      </c>
      <c r="X8" s="5">
        <v>0.75694444444444453</v>
      </c>
      <c r="Y8" s="5">
        <v>0.50347222222222221</v>
      </c>
      <c r="Z8" s="5">
        <v>0.75694444444444453</v>
      </c>
      <c r="AA8" s="5">
        <v>0.51388888888888895</v>
      </c>
      <c r="AB8" s="5">
        <v>0.76041666666666663</v>
      </c>
      <c r="AC8" s="5">
        <v>0.52083333333333337</v>
      </c>
      <c r="AD8" s="5">
        <v>0.75694444444444453</v>
      </c>
      <c r="AE8" s="5">
        <v>0.51041666666666663</v>
      </c>
      <c r="AF8" s="5">
        <v>0.76041666666666663</v>
      </c>
      <c r="AH8" s="5">
        <f t="shared" si="1"/>
        <v>0.51438492063492069</v>
      </c>
      <c r="AI8" s="5">
        <f t="shared" si="0"/>
        <v>0.76474358974358969</v>
      </c>
      <c r="AJ8" s="5">
        <f t="shared" si="2"/>
        <v>0.250358669108669</v>
      </c>
      <c r="AK8" s="5">
        <f t="shared" si="3"/>
        <v>7.1924603174604584E-3</v>
      </c>
    </row>
    <row r="9" spans="1:37">
      <c r="A9" t="s">
        <v>24</v>
      </c>
      <c r="B9" t="s">
        <v>46</v>
      </c>
      <c r="C9" t="s">
        <v>83</v>
      </c>
      <c r="D9">
        <v>7</v>
      </c>
      <c r="E9" s="5">
        <v>0.50694444444444442</v>
      </c>
      <c r="F9" s="5">
        <v>0.78125</v>
      </c>
      <c r="G9" s="5">
        <v>0.53472222222222221</v>
      </c>
      <c r="H9" s="5">
        <v>0.80208333333333337</v>
      </c>
      <c r="I9" s="5">
        <v>0.53819444444444442</v>
      </c>
      <c r="J9" s="5">
        <v>0.8125</v>
      </c>
      <c r="K9" s="5">
        <v>0.56944444444444442</v>
      </c>
      <c r="L9" s="5">
        <v>0.83333333333333337</v>
      </c>
      <c r="M9" s="5">
        <v>0.57291666666666663</v>
      </c>
      <c r="N9" s="5">
        <v>0.85763888888888884</v>
      </c>
      <c r="O9" s="5">
        <v>0.54513888888888895</v>
      </c>
      <c r="P9" s="5">
        <v>0.78125</v>
      </c>
      <c r="Q9" s="5">
        <v>0.52083333333333337</v>
      </c>
      <c r="R9" s="5">
        <v>0.78125</v>
      </c>
      <c r="S9" s="5">
        <v>0.52083333333333337</v>
      </c>
      <c r="T9" s="5">
        <v>0.78472222222222221</v>
      </c>
      <c r="U9" s="5">
        <v>0.51388888888888895</v>
      </c>
      <c r="V9" s="5">
        <v>0.78472222222222221</v>
      </c>
      <c r="W9" s="5">
        <v>0.51041666666666663</v>
      </c>
      <c r="X9" s="5">
        <v>0.78125</v>
      </c>
      <c r="Y9" s="5">
        <v>0.51388888888888895</v>
      </c>
      <c r="Z9" s="5">
        <v>0.77083333333333337</v>
      </c>
      <c r="AA9" s="5">
        <v>0.52083333333333337</v>
      </c>
      <c r="AB9" s="5">
        <v>0.77430555555555547</v>
      </c>
      <c r="AC9" s="5">
        <v>0.52777777777777779</v>
      </c>
      <c r="AD9" s="5">
        <v>0.77430555555555547</v>
      </c>
      <c r="AE9" s="5">
        <v>0.52083333333333337</v>
      </c>
      <c r="AF9" s="5">
        <v>0.69791666666666663</v>
      </c>
      <c r="AH9" s="5">
        <f t="shared" si="1"/>
        <v>0.52976190476190477</v>
      </c>
      <c r="AI9" s="5">
        <f t="shared" si="0"/>
        <v>0.78151709401709391</v>
      </c>
      <c r="AJ9" s="5">
        <f t="shared" si="2"/>
        <v>0.25175518925518914</v>
      </c>
      <c r="AK9" s="5">
        <f t="shared" si="3"/>
        <v>1.5376984126984072E-2</v>
      </c>
    </row>
    <row r="10" spans="1:37">
      <c r="A10" t="s">
        <v>30</v>
      </c>
      <c r="B10" t="s">
        <v>46</v>
      </c>
      <c r="C10" t="s">
        <v>83</v>
      </c>
      <c r="D10">
        <v>8</v>
      </c>
      <c r="E10" s="5">
        <v>0.51736111111111105</v>
      </c>
      <c r="F10" s="5">
        <v>0.69097222222222221</v>
      </c>
      <c r="G10" s="5">
        <v>0.55208333333333337</v>
      </c>
      <c r="H10" s="5">
        <v>0.83333333333333337</v>
      </c>
      <c r="I10" s="5">
        <v>0.55555555555555558</v>
      </c>
      <c r="J10" s="5">
        <v>0.76388888888888884</v>
      </c>
      <c r="K10" s="5">
        <v>0.58333333333333337</v>
      </c>
      <c r="L10" t="s">
        <v>58</v>
      </c>
      <c r="M10" s="5">
        <v>0.59375</v>
      </c>
      <c r="N10" t="s">
        <v>58</v>
      </c>
      <c r="O10" s="5">
        <v>0.55555555555555558</v>
      </c>
      <c r="P10" s="5">
        <v>0.69791666666666663</v>
      </c>
      <c r="Q10" s="5">
        <v>0.65972222222222221</v>
      </c>
      <c r="R10" s="5">
        <v>0.68055555555555547</v>
      </c>
      <c r="S10" s="5">
        <v>0.53472222222222221</v>
      </c>
      <c r="T10" s="5">
        <v>0.69444444444444453</v>
      </c>
      <c r="U10" s="5">
        <v>0.52430555555555558</v>
      </c>
      <c r="V10" s="5">
        <v>0.69097222222222221</v>
      </c>
      <c r="W10" s="5">
        <v>0.52430555555555558</v>
      </c>
      <c r="X10" s="5">
        <v>0.69097222222222221</v>
      </c>
      <c r="Y10" s="5">
        <v>0.52430555555555558</v>
      </c>
      <c r="Z10" s="5">
        <v>0.69097222222222221</v>
      </c>
      <c r="AA10" s="5">
        <v>0.54166666666666663</v>
      </c>
      <c r="AB10" s="5">
        <v>0.69791666666666663</v>
      </c>
      <c r="AC10" s="5">
        <v>0.54513888888888895</v>
      </c>
      <c r="AD10" s="5">
        <v>0.69791666666666663</v>
      </c>
      <c r="AE10" s="5">
        <v>0.54166666666666663</v>
      </c>
      <c r="AF10" s="5">
        <v>0.81597222222222221</v>
      </c>
      <c r="AH10" s="5">
        <f t="shared" si="1"/>
        <v>0.55381944444444453</v>
      </c>
      <c r="AI10" s="5">
        <f t="shared" si="0"/>
        <v>0.72048611111111116</v>
      </c>
      <c r="AJ10" s="5">
        <f t="shared" si="2"/>
        <v>0.16666666666666663</v>
      </c>
      <c r="AK10" s="5">
        <f t="shared" si="3"/>
        <v>2.4057539682539764E-2</v>
      </c>
    </row>
    <row r="11" spans="1:37">
      <c r="A11" t="s">
        <v>62</v>
      </c>
      <c r="B11" t="s">
        <v>46</v>
      </c>
      <c r="C11" t="s">
        <v>83</v>
      </c>
      <c r="D11">
        <v>9</v>
      </c>
      <c r="E11" s="5">
        <v>0.53472222222222221</v>
      </c>
      <c r="F11" s="5">
        <v>0.69791666666666663</v>
      </c>
      <c r="G11" s="5">
        <v>0.58333333333333337</v>
      </c>
      <c r="H11" s="5">
        <v>0.72916666666666663</v>
      </c>
      <c r="I11" s="5">
        <v>0.59375</v>
      </c>
      <c r="J11" s="5">
        <v>0.76388888888888884</v>
      </c>
      <c r="K11" s="5">
        <v>0.61111111111111105</v>
      </c>
      <c r="L11" t="s">
        <v>58</v>
      </c>
      <c r="M11" s="5">
        <v>0.63888888888888895</v>
      </c>
      <c r="N11" t="s">
        <v>58</v>
      </c>
      <c r="O11" s="5">
        <v>0.57291666666666663</v>
      </c>
      <c r="P11" s="5">
        <v>0.71180555555555547</v>
      </c>
      <c r="Q11" s="5">
        <v>0.54861111111111105</v>
      </c>
      <c r="R11" s="5">
        <v>0.69097222222222221</v>
      </c>
      <c r="S11" s="5">
        <v>0.55208333333333337</v>
      </c>
      <c r="T11" s="5">
        <v>0.70486111111111116</v>
      </c>
      <c r="U11" s="5">
        <v>0.53819444444444442</v>
      </c>
      <c r="V11" s="5">
        <v>0.70138888888888884</v>
      </c>
      <c r="W11" s="5">
        <v>0.53819444444444442</v>
      </c>
      <c r="X11" s="5">
        <v>0.70138888888888884</v>
      </c>
      <c r="Y11" s="5">
        <v>0.53819444444444442</v>
      </c>
      <c r="Z11" s="5">
        <v>0.70138888888888884</v>
      </c>
      <c r="AA11" s="5">
        <v>0.55902777777777779</v>
      </c>
      <c r="AB11" s="5">
        <v>0.70833333333333337</v>
      </c>
      <c r="AC11" s="5">
        <v>0.56597222222222221</v>
      </c>
      <c r="AD11" s="5">
        <v>0.70833333333333337</v>
      </c>
      <c r="AE11" s="5">
        <v>0.56944444444444442</v>
      </c>
      <c r="AF11" s="5">
        <v>0.71180555555555547</v>
      </c>
      <c r="AH11" s="5">
        <f t="shared" si="1"/>
        <v>0.56746031746031744</v>
      </c>
      <c r="AI11" s="5">
        <f t="shared" si="0"/>
        <v>0.7109375</v>
      </c>
      <c r="AJ11" s="5">
        <f t="shared" si="2"/>
        <v>0.14347718253968256</v>
      </c>
      <c r="AK11" s="5">
        <f t="shared" si="3"/>
        <v>1.3640873015872912E-2</v>
      </c>
    </row>
    <row r="12" spans="1:37">
      <c r="A12" t="s">
        <v>21</v>
      </c>
      <c r="B12" t="s">
        <v>46</v>
      </c>
      <c r="C12" t="s">
        <v>83</v>
      </c>
      <c r="D12">
        <v>10</v>
      </c>
      <c r="E12" s="5">
        <v>0.55208333333333337</v>
      </c>
      <c r="F12" s="5">
        <v>0.78819444444444453</v>
      </c>
      <c r="G12" s="5">
        <v>0.60416666666666663</v>
      </c>
      <c r="H12" s="5">
        <v>0.80902777777777779</v>
      </c>
      <c r="I12" s="5">
        <v>0.61111111111111105</v>
      </c>
      <c r="J12" t="s">
        <v>61</v>
      </c>
      <c r="K12" s="5">
        <v>0.62847222222222221</v>
      </c>
      <c r="L12" s="5">
        <v>0.84027777777777779</v>
      </c>
      <c r="M12" s="5">
        <v>0.65972222222222221</v>
      </c>
      <c r="N12" t="s">
        <v>58</v>
      </c>
      <c r="O12" s="5">
        <v>0.58333333333333337</v>
      </c>
      <c r="P12" s="5">
        <v>0.78819444444444453</v>
      </c>
      <c r="Q12" s="5">
        <v>0.5625</v>
      </c>
      <c r="R12" s="5">
        <v>0.78819444444444453</v>
      </c>
      <c r="S12" s="5">
        <v>0.5625</v>
      </c>
      <c r="T12" s="5">
        <v>0.79166666666666663</v>
      </c>
      <c r="U12" s="5">
        <v>0.55208333333333337</v>
      </c>
      <c r="V12" s="5">
        <v>0.79166666666666663</v>
      </c>
      <c r="W12" s="5">
        <v>0.55208333333333337</v>
      </c>
      <c r="X12" s="5">
        <v>0.78819444444444453</v>
      </c>
      <c r="Y12" s="5">
        <v>0.55208333333333337</v>
      </c>
      <c r="Z12" s="5">
        <v>0.77777777777777779</v>
      </c>
      <c r="AA12" s="5">
        <v>0.57291666666666663</v>
      </c>
      <c r="AB12" s="5">
        <v>0.78125</v>
      </c>
      <c r="AC12" s="5">
        <v>0.57291666666666663</v>
      </c>
      <c r="AD12" s="5">
        <v>0.78125</v>
      </c>
      <c r="AE12" s="5">
        <v>0.57986111111111105</v>
      </c>
      <c r="AF12" s="5">
        <v>0.77777777777777779</v>
      </c>
      <c r="AH12" s="5">
        <f t="shared" si="1"/>
        <v>0.58184523809523814</v>
      </c>
      <c r="AI12" s="5">
        <f t="shared" si="0"/>
        <v>0.79195601851851871</v>
      </c>
      <c r="AJ12" s="5">
        <f t="shared" si="2"/>
        <v>0.21011078042328057</v>
      </c>
      <c r="AK12" s="5">
        <f t="shared" si="3"/>
        <v>1.4384920634920695E-2</v>
      </c>
    </row>
    <row r="13" spans="1:37">
      <c r="A13" t="s">
        <v>50</v>
      </c>
      <c r="B13" t="s">
        <v>46</v>
      </c>
      <c r="C13" t="s">
        <v>83</v>
      </c>
      <c r="D13">
        <v>11</v>
      </c>
      <c r="E13" s="5">
        <v>0.56944444444444442</v>
      </c>
      <c r="F13" s="5">
        <v>0.79513888888888884</v>
      </c>
      <c r="G13" s="5">
        <v>0.61805555555555558</v>
      </c>
      <c r="H13" s="5">
        <v>0.8125</v>
      </c>
      <c r="I13" s="5">
        <v>0.63541666666666663</v>
      </c>
      <c r="J13" s="5">
        <v>0.82291666666666663</v>
      </c>
      <c r="K13" s="5">
        <v>0.65625</v>
      </c>
      <c r="L13" s="5">
        <v>0.84722222222222221</v>
      </c>
      <c r="M13" s="5">
        <v>0.70138888888888884</v>
      </c>
      <c r="N13" t="s">
        <v>58</v>
      </c>
      <c r="O13" s="5">
        <v>0.59722222222222221</v>
      </c>
      <c r="P13" s="5">
        <v>0.79513888888888884</v>
      </c>
      <c r="Q13" s="5">
        <v>0.58333333333333337</v>
      </c>
      <c r="R13" s="5">
        <v>0.79513888888888884</v>
      </c>
      <c r="S13" s="5">
        <v>0.57986111111111105</v>
      </c>
      <c r="T13" s="5">
        <v>0.79861111111111116</v>
      </c>
      <c r="U13" s="5">
        <v>0.57638888888888895</v>
      </c>
      <c r="V13" s="5">
        <v>0.79513888888888884</v>
      </c>
      <c r="W13" s="5">
        <v>0.57291666666666663</v>
      </c>
      <c r="X13" s="5">
        <v>0.79513888888888884</v>
      </c>
      <c r="Y13" s="5">
        <v>0.57291666666666663</v>
      </c>
      <c r="Z13" s="5">
        <v>0.78472222222222221</v>
      </c>
      <c r="AA13" s="5">
        <v>0.59027777777777779</v>
      </c>
      <c r="AB13" s="5">
        <v>0.79166666666666663</v>
      </c>
      <c r="AC13" s="5">
        <v>0.67361111111111116</v>
      </c>
      <c r="AD13" s="5">
        <v>0.79166666666666663</v>
      </c>
      <c r="AE13" s="5">
        <v>0.59375</v>
      </c>
      <c r="AF13" s="5">
        <v>0.78819444444444453</v>
      </c>
      <c r="AH13" s="5">
        <f t="shared" si="1"/>
        <v>0.60863095238095244</v>
      </c>
      <c r="AI13" s="5">
        <f t="shared" si="0"/>
        <v>0.80101495726495719</v>
      </c>
      <c r="AJ13" s="5">
        <f t="shared" si="2"/>
        <v>0.19238400488400476</v>
      </c>
      <c r="AK13" s="5">
        <f t="shared" si="3"/>
        <v>2.6785714285714302E-2</v>
      </c>
    </row>
    <row r="14" spans="1:37">
      <c r="A14" t="s">
        <v>51</v>
      </c>
      <c r="B14" t="s">
        <v>46</v>
      </c>
      <c r="C14" t="s">
        <v>83</v>
      </c>
      <c r="D14">
        <v>12</v>
      </c>
      <c r="E14" s="5">
        <v>0.61805555555555558</v>
      </c>
      <c r="F14" s="5">
        <v>0.79861111111111116</v>
      </c>
      <c r="G14" s="5">
        <v>0.67708333333333337</v>
      </c>
      <c r="H14" s="5">
        <v>0.81944444444444453</v>
      </c>
      <c r="I14" s="5">
        <v>0.70833333333333337</v>
      </c>
      <c r="J14" s="5">
        <v>0.83333333333333337</v>
      </c>
      <c r="K14" s="5">
        <v>0.63194444444444442</v>
      </c>
      <c r="L14" s="5">
        <v>0.85416666666666663</v>
      </c>
      <c r="M14" s="5">
        <v>0.76041666666666663</v>
      </c>
      <c r="N14" t="s">
        <v>58</v>
      </c>
      <c r="O14" s="5">
        <v>0.64236111111111105</v>
      </c>
      <c r="P14" s="5">
        <v>0.79861111111111116</v>
      </c>
      <c r="Q14" s="5">
        <v>0.62152777777777779</v>
      </c>
      <c r="R14" s="5">
        <v>0.80208333333333337</v>
      </c>
      <c r="S14" s="5">
        <v>0.625</v>
      </c>
      <c r="T14" s="5">
        <v>0.80208333333333337</v>
      </c>
      <c r="U14" s="5">
        <v>0.62152777777777779</v>
      </c>
      <c r="V14" s="5">
        <v>0.80208333333333337</v>
      </c>
      <c r="W14" s="5">
        <v>0.61805555555555558</v>
      </c>
      <c r="X14" s="5">
        <v>0.80208333333333337</v>
      </c>
      <c r="Y14" s="5">
        <v>0.61805555555555558</v>
      </c>
      <c r="Z14" s="5">
        <v>0.79166666666666663</v>
      </c>
      <c r="AA14" s="5">
        <v>0.64583333333333337</v>
      </c>
      <c r="AB14" s="5">
        <v>0.80208333333333337</v>
      </c>
      <c r="AC14" s="5">
        <v>0.63888888888888895</v>
      </c>
      <c r="AD14" s="5">
        <v>0.80208333333333337</v>
      </c>
      <c r="AE14" s="5">
        <v>0.63888888888888895</v>
      </c>
      <c r="AF14" s="5">
        <v>0.79861111111111116</v>
      </c>
      <c r="AH14" s="5">
        <f>AVERAGE(E14,G14,I14,K14,M14,O14,Q14,S14,U14,W14,Y14,AA14,AC14,AE14)</f>
        <v>0.64756944444444442</v>
      </c>
      <c r="AI14" s="5">
        <f t="shared" si="0"/>
        <v>0.80822649572649574</v>
      </c>
      <c r="AJ14" s="5">
        <f t="shared" si="2"/>
        <v>0.16065705128205132</v>
      </c>
      <c r="AK14" s="5">
        <f>AH14-AH13</f>
        <v>3.8938492063491981E-2</v>
      </c>
    </row>
    <row r="15" spans="1:37">
      <c r="A15" t="s">
        <v>60</v>
      </c>
      <c r="B15" t="s">
        <v>46</v>
      </c>
      <c r="C15" t="s">
        <v>83</v>
      </c>
      <c r="D15">
        <v>13</v>
      </c>
      <c r="E15" s="5">
        <v>0.63194444444444442</v>
      </c>
      <c r="F15" s="5">
        <v>0.80555555555555547</v>
      </c>
      <c r="G15" s="5">
        <v>0.56597222222222221</v>
      </c>
      <c r="H15" s="5">
        <v>0.82638888888888884</v>
      </c>
      <c r="I15" s="5">
        <v>0.57291666666666663</v>
      </c>
      <c r="J15" s="5">
        <v>0.84027777777777779</v>
      </c>
      <c r="K15" s="5">
        <v>0.59375</v>
      </c>
      <c r="L15" s="5">
        <v>0.86458333333333337</v>
      </c>
      <c r="M15" s="5">
        <v>0.61111111111111105</v>
      </c>
      <c r="N15" s="5">
        <v>0.875</v>
      </c>
      <c r="O15" s="5">
        <v>0.65277777777777779</v>
      </c>
      <c r="P15" s="5">
        <v>0.80555555555555547</v>
      </c>
      <c r="Q15" s="5">
        <v>0.63194444444444442</v>
      </c>
      <c r="R15" s="5">
        <v>0.80902777777777779</v>
      </c>
      <c r="S15" s="5">
        <v>0.63541666666666663</v>
      </c>
      <c r="T15" s="5">
        <v>0.80555555555555547</v>
      </c>
      <c r="U15" s="5">
        <v>0.63194444444444442</v>
      </c>
      <c r="V15" s="5">
        <v>0.80555555555555547</v>
      </c>
      <c r="W15" s="5">
        <v>0.63194444444444442</v>
      </c>
      <c r="X15" s="5">
        <v>0.80902777777777779</v>
      </c>
      <c r="Y15" s="5">
        <v>0.63194444444444442</v>
      </c>
      <c r="Z15" s="5">
        <v>0.79861111111111116</v>
      </c>
      <c r="AA15" s="5">
        <v>0.65277777777777779</v>
      </c>
      <c r="AB15" s="5">
        <v>0.8125</v>
      </c>
      <c r="AC15" s="5">
        <v>0.65277777777777779</v>
      </c>
      <c r="AD15" s="5">
        <v>0.80902777777777779</v>
      </c>
      <c r="AE15" s="5">
        <v>0.65277777777777779</v>
      </c>
      <c r="AF15" s="5">
        <v>0.80902777777777779</v>
      </c>
      <c r="AH15" s="5">
        <f t="shared" si="1"/>
        <v>0.62500000000000011</v>
      </c>
      <c r="AI15" s="5">
        <f t="shared" si="0"/>
        <v>0.81543803418803418</v>
      </c>
      <c r="AJ15" s="5">
        <f t="shared" si="2"/>
        <v>0.19043803418803407</v>
      </c>
      <c r="AK15" s="5">
        <f>AH15-AH14</f>
        <v>-2.2569444444444309E-2</v>
      </c>
    </row>
    <row r="16" spans="1:37">
      <c r="A16" t="s">
        <v>59</v>
      </c>
      <c r="B16" t="s">
        <v>45</v>
      </c>
      <c r="C16" t="s">
        <v>83</v>
      </c>
      <c r="D16">
        <v>14</v>
      </c>
      <c r="E16" s="5">
        <v>0.64236111111111105</v>
      </c>
      <c r="F16" s="5">
        <v>0.8125</v>
      </c>
      <c r="G16" s="5">
        <v>0.69097222222222221</v>
      </c>
      <c r="H16" s="5">
        <v>0.84027777777777779</v>
      </c>
      <c r="I16" s="5">
        <v>0.71875</v>
      </c>
      <c r="J16" s="5">
        <v>0.85069444444444453</v>
      </c>
      <c r="K16" s="5">
        <v>0.77083333333333337</v>
      </c>
      <c r="L16" s="5">
        <v>0.87152777777777779</v>
      </c>
      <c r="M16" s="5">
        <v>0.77083333333333337</v>
      </c>
      <c r="N16" s="5">
        <v>0.88888888888888884</v>
      </c>
      <c r="O16" s="5">
        <v>0.65972222222222221</v>
      </c>
      <c r="P16" s="5">
        <v>0.8125</v>
      </c>
      <c r="Q16" s="5">
        <v>0.64236111111111105</v>
      </c>
      <c r="R16" s="5">
        <v>0.81597222222222221</v>
      </c>
      <c r="S16" s="5">
        <v>0.64583333333333337</v>
      </c>
      <c r="T16" s="5">
        <v>0.8125</v>
      </c>
      <c r="U16" s="5">
        <v>0.64583333333333337</v>
      </c>
      <c r="V16" s="5">
        <v>0.8125</v>
      </c>
      <c r="W16" s="5">
        <v>0.64236111111111105</v>
      </c>
      <c r="X16" s="5">
        <v>0.81597222222222221</v>
      </c>
      <c r="Y16" s="5">
        <v>0.64236111111111105</v>
      </c>
      <c r="Z16" s="5">
        <v>0.80555555555555547</v>
      </c>
      <c r="AA16" s="5">
        <v>0.66319444444444442</v>
      </c>
      <c r="AB16" s="5">
        <v>0.81944444444444453</v>
      </c>
      <c r="AC16" s="5">
        <v>0.65972222222222221</v>
      </c>
      <c r="AD16" s="5">
        <v>0.81597222222222221</v>
      </c>
      <c r="AE16" s="5">
        <v>0.66319444444444442</v>
      </c>
      <c r="AF16" s="5">
        <v>0.81944444444444453</v>
      </c>
      <c r="AH16" s="5">
        <f t="shared" si="1"/>
        <v>0.67559523809523792</v>
      </c>
      <c r="AI16" s="5">
        <f t="shared" si="0"/>
        <v>0.82345085470085466</v>
      </c>
      <c r="AJ16" s="5">
        <f t="shared" si="2"/>
        <v>0.14785561660561675</v>
      </c>
      <c r="AK16" s="5">
        <f t="shared" si="3"/>
        <v>5.0595238095237804E-2</v>
      </c>
    </row>
    <row r="17" spans="1:37">
      <c r="A17" t="s">
        <v>18</v>
      </c>
      <c r="B17" t="s">
        <v>45</v>
      </c>
      <c r="C17" t="s">
        <v>83</v>
      </c>
      <c r="D17">
        <v>15</v>
      </c>
      <c r="E17" s="5">
        <v>0.66666666666666663</v>
      </c>
      <c r="F17" s="5">
        <v>0.81597222222222221</v>
      </c>
      <c r="G17" s="5">
        <v>0.71180555555555547</v>
      </c>
      <c r="H17" s="5">
        <v>0.84722222222222221</v>
      </c>
      <c r="I17" s="5">
        <v>0.73263888888888884</v>
      </c>
      <c r="J17" s="5">
        <v>0.85763888888888884</v>
      </c>
      <c r="K17" s="5">
        <v>0.78472222222222221</v>
      </c>
      <c r="L17" s="5">
        <v>0.87847222222222221</v>
      </c>
      <c r="M17" s="5">
        <v>0.78472222222222221</v>
      </c>
      <c r="N17" t="s">
        <v>58</v>
      </c>
      <c r="O17" s="5">
        <v>0.67361111111111116</v>
      </c>
      <c r="P17" s="5">
        <v>0.81597222222222221</v>
      </c>
      <c r="Q17" s="5">
        <v>0.65625</v>
      </c>
      <c r="R17" s="5">
        <v>0.81944444444444453</v>
      </c>
      <c r="S17" s="5">
        <v>0.67708333333333337</v>
      </c>
      <c r="T17" s="5">
        <v>0.81597222222222221</v>
      </c>
      <c r="U17" s="5">
        <v>0.66666666666666663</v>
      </c>
      <c r="V17" s="5">
        <v>0.81597222222222221</v>
      </c>
      <c r="W17" s="5">
        <v>0.66319444444444442</v>
      </c>
      <c r="X17" s="5">
        <v>0.81944444444444453</v>
      </c>
      <c r="Y17" s="5">
        <v>0.66666666666666663</v>
      </c>
      <c r="Z17" s="5">
        <v>0.66666666666666663</v>
      </c>
      <c r="AA17" s="5">
        <v>0.67708333333333337</v>
      </c>
      <c r="AB17" s="5">
        <v>0.82638888888888884</v>
      </c>
      <c r="AC17" s="5">
        <v>0.67361111111111116</v>
      </c>
      <c r="AD17" s="5">
        <v>0.82291666666666663</v>
      </c>
      <c r="AE17" s="5">
        <v>0.67708333333333337</v>
      </c>
      <c r="AF17" s="5">
        <v>0.82291666666666663</v>
      </c>
      <c r="AH17" s="5">
        <f t="shared" si="1"/>
        <v>0.69370039682539686</v>
      </c>
      <c r="AI17" s="5">
        <f t="shared" si="0"/>
        <v>0.81730769230769229</v>
      </c>
      <c r="AJ17" s="5">
        <f t="shared" si="2"/>
        <v>0.12360729548229543</v>
      </c>
      <c r="AK17" s="5">
        <f t="shared" si="3"/>
        <v>1.8105158730158943E-2</v>
      </c>
    </row>
    <row r="18" spans="1:37">
      <c r="A18" t="s">
        <v>19</v>
      </c>
      <c r="B18" t="s">
        <v>45</v>
      </c>
      <c r="C18" t="s">
        <v>83</v>
      </c>
      <c r="D18">
        <v>16</v>
      </c>
      <c r="E18" s="5">
        <v>0.67708333333333337</v>
      </c>
      <c r="F18" s="5">
        <v>0.81944444444444453</v>
      </c>
      <c r="G18" s="5">
        <v>0.72222222222222221</v>
      </c>
      <c r="H18" s="5">
        <v>0.85416666666666663</v>
      </c>
      <c r="I18" s="5">
        <v>0.75</v>
      </c>
      <c r="J18" s="5">
        <v>0.86458333333333337</v>
      </c>
      <c r="K18" s="5">
        <v>0.76041666666666663</v>
      </c>
      <c r="L18" t="s">
        <v>58</v>
      </c>
      <c r="M18" s="5">
        <v>0.79513888888888884</v>
      </c>
      <c r="N18" t="s">
        <v>58</v>
      </c>
      <c r="O18" s="5">
        <v>0.68402777777777779</v>
      </c>
      <c r="P18" s="5">
        <v>0.82291666666666663</v>
      </c>
      <c r="Q18" s="5">
        <v>0.67013888888888884</v>
      </c>
      <c r="R18" s="5">
        <v>0.82291666666666663</v>
      </c>
      <c r="S18" s="5">
        <v>0.6875</v>
      </c>
      <c r="T18" s="5">
        <v>0.81944444444444453</v>
      </c>
      <c r="U18" s="5">
        <v>0.68055555555555547</v>
      </c>
      <c r="V18" s="5">
        <v>0.81944444444444453</v>
      </c>
      <c r="W18" s="5">
        <v>0.68055555555555547</v>
      </c>
      <c r="X18" s="5">
        <v>0.82291666666666663</v>
      </c>
      <c r="Y18" s="5">
        <v>0.68055555555555547</v>
      </c>
      <c r="Z18" s="5">
        <v>0.81944444444444453</v>
      </c>
      <c r="AA18" s="5">
        <v>0.6875</v>
      </c>
      <c r="AB18" s="5">
        <v>0.82986111111111116</v>
      </c>
      <c r="AC18" s="5">
        <v>0.69097222222222221</v>
      </c>
      <c r="AD18" s="5">
        <v>0.82986111111111116</v>
      </c>
      <c r="AE18" s="5">
        <v>0.68402777777777779</v>
      </c>
      <c r="AF18" s="5">
        <v>0.82638888888888884</v>
      </c>
      <c r="AH18" s="5">
        <f t="shared" si="1"/>
        <v>0.70362103174603163</v>
      </c>
      <c r="AI18" s="5">
        <f t="shared" si="0"/>
        <v>0.82928240740740744</v>
      </c>
      <c r="AJ18" s="5">
        <f t="shared" si="2"/>
        <v>0.12566137566137581</v>
      </c>
      <c r="AK18" s="5">
        <f t="shared" si="3"/>
        <v>9.9206349206347744E-3</v>
      </c>
    </row>
    <row r="19" spans="1:37">
      <c r="E19" s="5"/>
      <c r="F19" s="5"/>
      <c r="G19" s="5"/>
      <c r="H19" s="5"/>
      <c r="I19" s="5"/>
      <c r="J19" s="5"/>
      <c r="K19" s="5"/>
      <c r="M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H19" s="5"/>
      <c r="AI19" s="5"/>
      <c r="AJ19" s="5"/>
      <c r="AK19" s="5"/>
    </row>
    <row r="20" spans="1:37">
      <c r="E20" s="5"/>
      <c r="F20" s="5"/>
      <c r="G20" s="5"/>
      <c r="H20" s="5"/>
      <c r="I20" s="5"/>
      <c r="J20" s="5"/>
      <c r="K20" s="5"/>
      <c r="M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H20" s="5"/>
      <c r="AI20" s="5"/>
      <c r="AJ20" s="5"/>
      <c r="AK20" s="5">
        <f>SUM(AK3:AK18)</f>
        <v>0.28695436507936495</v>
      </c>
    </row>
    <row r="21" spans="1:37">
      <c r="E21" s="5"/>
      <c r="F21" s="5"/>
      <c r="G21" s="5"/>
      <c r="H21" s="5"/>
      <c r="I21" s="5"/>
      <c r="J21" s="5"/>
      <c r="K21" s="5"/>
      <c r="M21" s="5"/>
      <c r="O21" s="5"/>
      <c r="P21" s="5"/>
      <c r="AH21" s="5"/>
      <c r="AI21" s="5"/>
      <c r="AJ21" s="5"/>
      <c r="AK21" s="5">
        <f>AVERAGE(AK4:AK18)</f>
        <v>1.6881613756613744E-2</v>
      </c>
    </row>
    <row r="22" spans="1:37">
      <c r="A22" t="s">
        <v>13</v>
      </c>
      <c r="B22" t="s">
        <v>45</v>
      </c>
      <c r="C22" t="s">
        <v>84</v>
      </c>
      <c r="D22">
        <v>1</v>
      </c>
      <c r="E22" s="5">
        <v>0.44791666666666669</v>
      </c>
      <c r="F22" s="5">
        <v>0.70833333333333337</v>
      </c>
      <c r="G22" s="5">
        <v>0.44444444444444442</v>
      </c>
      <c r="H22" s="5">
        <v>0.71527777777777779</v>
      </c>
      <c r="I22" s="5">
        <v>0.44444444444444442</v>
      </c>
      <c r="J22" s="5">
        <v>0.69791666666666663</v>
      </c>
      <c r="K22" s="5">
        <v>0.4513888888888889</v>
      </c>
      <c r="L22" s="5">
        <v>0.67708333333333337</v>
      </c>
      <c r="M22" s="5">
        <v>0.46180555555555558</v>
      </c>
      <c r="N22" s="5">
        <v>0.71875</v>
      </c>
      <c r="O22" s="5">
        <v>0.4548611111111111</v>
      </c>
      <c r="P22" s="5">
        <v>0.71527777777777779</v>
      </c>
      <c r="Q22" s="5">
        <v>0.4513888888888889</v>
      </c>
      <c r="R22" s="5">
        <v>0.67361111111111116</v>
      </c>
      <c r="S22" s="5">
        <v>0.44791666666666669</v>
      </c>
      <c r="T22" s="5">
        <v>0.70138888888888884</v>
      </c>
      <c r="U22" s="5">
        <v>0.4513888888888889</v>
      </c>
      <c r="V22" s="5">
        <v>0.69791666666666663</v>
      </c>
      <c r="W22" s="5">
        <v>0.4375</v>
      </c>
      <c r="X22" s="5">
        <v>0.69444444444444453</v>
      </c>
      <c r="Y22" s="5">
        <v>0.44444444444444442</v>
      </c>
      <c r="Z22" s="5">
        <v>0.69097222222222221</v>
      </c>
      <c r="AA22" s="5">
        <v>0.44791666666666669</v>
      </c>
      <c r="AB22" s="5">
        <v>0.70833333333333337</v>
      </c>
      <c r="AC22" s="5">
        <v>0.4375</v>
      </c>
      <c r="AD22" s="5">
        <v>0.71180555555555547</v>
      </c>
      <c r="AE22" s="5">
        <v>0.44791666666666669</v>
      </c>
      <c r="AF22" s="5">
        <v>0.69791666666666663</v>
      </c>
      <c r="AH22" s="5">
        <f t="shared" si="1"/>
        <v>0.44791666666666669</v>
      </c>
      <c r="AI22" s="5">
        <f t="shared" ref="AI22:AI34" si="4">AVERAGE(A22,F22,H22,J22,L22,P22,R22,T22,V22,X22,Z22,AB22,AD22,AF22)</f>
        <v>0.69925213675213682</v>
      </c>
      <c r="AJ22" s="5">
        <f t="shared" si="2"/>
        <v>0.25133547008547014</v>
      </c>
      <c r="AK22" s="5">
        <f>AH22-AH2</f>
        <v>3.125E-2</v>
      </c>
    </row>
    <row r="23" spans="1:37">
      <c r="A23" t="s">
        <v>16</v>
      </c>
      <c r="B23" t="s">
        <v>45</v>
      </c>
      <c r="C23" t="s">
        <v>84</v>
      </c>
      <c r="D23">
        <v>2</v>
      </c>
      <c r="E23" s="5">
        <v>0.45833333333333331</v>
      </c>
      <c r="F23" s="5">
        <v>0.72569444444444453</v>
      </c>
      <c r="G23" s="5">
        <v>0.47222222222222227</v>
      </c>
      <c r="H23" s="5">
        <v>0.72916666666666663</v>
      </c>
      <c r="I23" s="5">
        <v>0.46180555555555558</v>
      </c>
      <c r="J23" s="5">
        <v>0.73263888888888884</v>
      </c>
      <c r="K23" s="5">
        <v>0.47916666666666669</v>
      </c>
      <c r="L23" s="5">
        <v>0.72222222222222221</v>
      </c>
      <c r="M23" s="5">
        <v>0.4861111111111111</v>
      </c>
      <c r="N23" s="5">
        <v>0.73611111111111116</v>
      </c>
      <c r="O23" s="5">
        <v>0.47222222222222227</v>
      </c>
      <c r="P23" s="5">
        <v>0.72222222222222221</v>
      </c>
      <c r="Q23" s="5">
        <v>0.47569444444444442</v>
      </c>
      <c r="R23" s="5">
        <v>0.72222222222222221</v>
      </c>
      <c r="S23" s="5">
        <v>0.46527777777777773</v>
      </c>
      <c r="T23" s="5">
        <v>0.71180555555555547</v>
      </c>
      <c r="U23" s="5">
        <v>0.46875</v>
      </c>
      <c r="V23" s="5">
        <v>0.70833333333333337</v>
      </c>
      <c r="W23" s="5">
        <v>0.4513888888888889</v>
      </c>
      <c r="X23" s="5">
        <v>0.70486111111111116</v>
      </c>
      <c r="Y23" s="5">
        <v>0.4513888888888889</v>
      </c>
      <c r="Z23" s="5">
        <v>0.69791666666666663</v>
      </c>
      <c r="AA23" s="5">
        <v>0.48958333333333331</v>
      </c>
      <c r="AB23" s="5">
        <v>0.74305555555555547</v>
      </c>
      <c r="AC23" s="5">
        <v>0.45833333333333331</v>
      </c>
      <c r="AD23" s="5">
        <v>0.73958333333333337</v>
      </c>
      <c r="AE23" s="5">
        <v>0.46527777777777773</v>
      </c>
      <c r="AF23" s="5">
        <v>0.73958333333333337</v>
      </c>
      <c r="AH23" s="5">
        <f t="shared" si="1"/>
        <v>0.46825396825396826</v>
      </c>
      <c r="AI23" s="5">
        <f t="shared" si="4"/>
        <v>0.72302350427350426</v>
      </c>
      <c r="AJ23" s="5">
        <f t="shared" si="2"/>
        <v>0.254769536019536</v>
      </c>
      <c r="AK23" s="5">
        <f t="shared" si="3"/>
        <v>2.0337301587301571E-2</v>
      </c>
    </row>
    <row r="24" spans="1:37">
      <c r="A24" t="s">
        <v>49</v>
      </c>
      <c r="B24" t="s">
        <v>45</v>
      </c>
      <c r="C24" t="s">
        <v>84</v>
      </c>
      <c r="D24">
        <v>3</v>
      </c>
      <c r="E24" s="5">
        <v>0.46527777777777773</v>
      </c>
      <c r="F24" s="5">
        <v>0.73263888888888884</v>
      </c>
      <c r="G24" s="5">
        <v>0.49305555555555558</v>
      </c>
      <c r="H24" s="5">
        <v>0.73958333333333337</v>
      </c>
      <c r="I24" s="5">
        <v>0.4826388888888889</v>
      </c>
      <c r="J24" s="5">
        <v>0.75347222222222221</v>
      </c>
      <c r="K24" s="5">
        <v>0.48958333333333331</v>
      </c>
      <c r="L24" s="5">
        <v>0.73611111111111116</v>
      </c>
      <c r="M24" s="5">
        <v>0.50347222222222221</v>
      </c>
      <c r="N24" s="5">
        <v>0.75</v>
      </c>
      <c r="O24" s="5">
        <v>0.48958333333333331</v>
      </c>
      <c r="P24" s="5">
        <v>0.72916666666666663</v>
      </c>
      <c r="Q24" s="5">
        <v>0.49305555555555558</v>
      </c>
      <c r="R24" s="5">
        <v>0.72916666666666663</v>
      </c>
      <c r="S24" s="5">
        <v>0.4826388888888889</v>
      </c>
      <c r="T24" s="5">
        <v>0.71875</v>
      </c>
      <c r="U24" s="5">
        <v>0.4861111111111111</v>
      </c>
      <c r="V24" s="5">
        <v>0.71527777777777779</v>
      </c>
      <c r="W24" s="5">
        <v>0.46875</v>
      </c>
      <c r="X24" s="5">
        <v>0.71180555555555547</v>
      </c>
      <c r="Y24" s="5">
        <v>0.45833333333333331</v>
      </c>
      <c r="Z24" s="5">
        <v>0.69097222222222221</v>
      </c>
      <c r="AA24" s="5">
        <v>0.51041666666666663</v>
      </c>
      <c r="AB24" s="5">
        <v>0.75694444444444453</v>
      </c>
      <c r="AC24" s="5">
        <v>0.4861111111111111</v>
      </c>
      <c r="AD24" s="5">
        <v>0.74652777777777779</v>
      </c>
      <c r="AE24" s="5">
        <v>0.47916666666666669</v>
      </c>
      <c r="AF24" s="5">
        <v>0.75347222222222221</v>
      </c>
      <c r="AH24" s="5">
        <f t="shared" si="1"/>
        <v>0.48487103174603174</v>
      </c>
      <c r="AI24" s="5">
        <f t="shared" si="4"/>
        <v>0.7318376068376069</v>
      </c>
      <c r="AJ24" s="5">
        <f t="shared" si="2"/>
        <v>0.24696657509157516</v>
      </c>
      <c r="AK24" s="5">
        <f t="shared" si="3"/>
        <v>1.6617063492063489E-2</v>
      </c>
    </row>
    <row r="25" spans="1:37">
      <c r="A25" t="s">
        <v>48</v>
      </c>
      <c r="B25" t="s">
        <v>45</v>
      </c>
      <c r="C25" t="s">
        <v>84</v>
      </c>
      <c r="D25">
        <v>4</v>
      </c>
      <c r="E25" s="5">
        <v>0.47916666666666669</v>
      </c>
      <c r="F25" s="5">
        <v>0.73611111111111116</v>
      </c>
      <c r="G25" s="5">
        <v>0.51736111111111105</v>
      </c>
      <c r="H25" s="5">
        <v>0.75</v>
      </c>
      <c r="I25" s="5">
        <v>0.49652777777777773</v>
      </c>
      <c r="J25" s="5">
        <v>0.76388888888888884</v>
      </c>
      <c r="K25" s="5">
        <v>0.50694444444444442</v>
      </c>
      <c r="L25" s="5">
        <v>0.74305555555555547</v>
      </c>
      <c r="M25" s="5">
        <v>0.51736111111111105</v>
      </c>
      <c r="N25" s="5">
        <v>0.76041666666666663</v>
      </c>
      <c r="O25" s="5">
        <v>0.50694444444444442</v>
      </c>
      <c r="P25" s="5">
        <v>0.73263888888888884</v>
      </c>
      <c r="Q25" s="5">
        <v>0.51041666666666663</v>
      </c>
      <c r="R25" s="5">
        <v>0.73263888888888884</v>
      </c>
      <c r="S25" s="5">
        <v>0.49652777777777773</v>
      </c>
      <c r="T25" s="5">
        <v>0.72222222222222221</v>
      </c>
      <c r="U25" s="5">
        <v>0.5</v>
      </c>
      <c r="V25" s="5">
        <v>0.71875</v>
      </c>
      <c r="W25" s="5">
        <v>0.4861111111111111</v>
      </c>
      <c r="X25" s="5">
        <v>0.71527777777777779</v>
      </c>
      <c r="Y25" s="5">
        <v>0.47916666666666669</v>
      </c>
      <c r="Z25" s="5">
        <v>0.71180555555555547</v>
      </c>
      <c r="AA25" s="5">
        <v>0.52083333333333337</v>
      </c>
      <c r="AB25" s="5">
        <v>0.76388888888888884</v>
      </c>
      <c r="AC25" s="5">
        <v>0.50347222222222221</v>
      </c>
      <c r="AD25" s="5">
        <v>0.75694444444444453</v>
      </c>
      <c r="AE25" s="5">
        <v>0.49305555555555558</v>
      </c>
      <c r="AF25" s="5">
        <v>0.76388888888888884</v>
      </c>
      <c r="AH25" s="5">
        <f t="shared" si="1"/>
        <v>0.50099206349206349</v>
      </c>
      <c r="AI25" s="5">
        <f t="shared" si="4"/>
        <v>0.73931623931623924</v>
      </c>
      <c r="AJ25" s="5">
        <f t="shared" si="2"/>
        <v>0.23832417582417575</v>
      </c>
      <c r="AK25" s="5">
        <f t="shared" si="3"/>
        <v>1.6121031746031744E-2</v>
      </c>
    </row>
    <row r="26" spans="1:37">
      <c r="A26" t="s">
        <v>197</v>
      </c>
      <c r="B26" t="s">
        <v>45</v>
      </c>
      <c r="C26" t="s">
        <v>84</v>
      </c>
      <c r="D26">
        <v>5</v>
      </c>
      <c r="E26" s="5">
        <v>0.49652777777777773</v>
      </c>
      <c r="F26" s="5">
        <v>0.73958333333333337</v>
      </c>
      <c r="G26" s="5">
        <v>0.53472222222222221</v>
      </c>
      <c r="H26" s="5">
        <v>0.75347222222222221</v>
      </c>
      <c r="I26" s="5">
        <v>0.51736111111111105</v>
      </c>
      <c r="J26" s="5">
        <v>0.77083333333333337</v>
      </c>
      <c r="K26" s="5">
        <v>0.51736111111111105</v>
      </c>
      <c r="L26" s="5">
        <v>0.75</v>
      </c>
      <c r="M26" s="5">
        <v>0.52777777777777779</v>
      </c>
      <c r="N26" s="5">
        <v>0.76736111111111116</v>
      </c>
      <c r="O26" s="5">
        <v>0.52083333333333337</v>
      </c>
      <c r="P26" s="5">
        <v>0.73611111111111116</v>
      </c>
      <c r="Q26" s="5">
        <v>0.53472222222222221</v>
      </c>
      <c r="R26" s="5">
        <v>0.73611111111111116</v>
      </c>
      <c r="S26" s="5">
        <v>0.51388888888888895</v>
      </c>
      <c r="T26" s="5">
        <v>0.72569444444444453</v>
      </c>
      <c r="U26" s="5">
        <v>0.51388888888888895</v>
      </c>
      <c r="V26" s="5">
        <v>0.72222222222222221</v>
      </c>
      <c r="W26" s="5">
        <v>0.50347222222222221</v>
      </c>
      <c r="X26" s="5">
        <v>0.71875</v>
      </c>
      <c r="Y26" s="5">
        <v>0.49652777777777773</v>
      </c>
      <c r="Z26" s="5">
        <v>0.71527777777777779</v>
      </c>
      <c r="AA26" s="5">
        <v>0.53125</v>
      </c>
      <c r="AB26" s="5">
        <v>0.77083333333333337</v>
      </c>
      <c r="AC26" s="5">
        <v>0.51388888888888895</v>
      </c>
      <c r="AD26" s="5">
        <v>0.76736111111111116</v>
      </c>
      <c r="AE26" s="5">
        <v>0.50694444444444442</v>
      </c>
      <c r="AF26" s="5">
        <v>0.77430555555555547</v>
      </c>
      <c r="AH26" s="5">
        <f t="shared" si="1"/>
        <v>0.51636904761904767</v>
      </c>
      <c r="AI26" s="5">
        <f t="shared" si="4"/>
        <v>0.74465811965811968</v>
      </c>
      <c r="AJ26" s="5">
        <f t="shared" si="2"/>
        <v>0.22828907203907201</v>
      </c>
      <c r="AK26" s="5">
        <f t="shared" si="3"/>
        <v>1.5376984126984183E-2</v>
      </c>
    </row>
    <row r="27" spans="1:37">
      <c r="A27" t="s">
        <v>34</v>
      </c>
      <c r="B27" t="s">
        <v>45</v>
      </c>
      <c r="C27" t="s">
        <v>84</v>
      </c>
      <c r="D27">
        <v>6</v>
      </c>
      <c r="E27" s="5">
        <v>0.51041666666666663</v>
      </c>
      <c r="F27" s="5">
        <v>0.74652777777777779</v>
      </c>
      <c r="G27" s="5">
        <v>0.55208333333333337</v>
      </c>
      <c r="H27" s="5">
        <v>0.76388888888888884</v>
      </c>
      <c r="I27" s="5">
        <v>0.52430555555555558</v>
      </c>
      <c r="J27" s="5">
        <v>0.77777777777777779</v>
      </c>
      <c r="K27" s="5">
        <v>0.52430555555555558</v>
      </c>
      <c r="L27" s="5">
        <v>0.75694444444444453</v>
      </c>
      <c r="M27" s="5">
        <v>0.54166666666666663</v>
      </c>
      <c r="N27" s="5">
        <v>0.77430555555555547</v>
      </c>
      <c r="O27" s="5">
        <v>0.53125</v>
      </c>
      <c r="P27" s="5">
        <v>0.74305555555555547</v>
      </c>
      <c r="Q27" s="5">
        <v>0.54861111111111105</v>
      </c>
      <c r="R27" s="5">
        <v>0.74305555555555547</v>
      </c>
      <c r="S27" s="5">
        <v>0.52430555555555558</v>
      </c>
      <c r="T27" s="5">
        <v>0.72916666666666663</v>
      </c>
      <c r="U27" s="5">
        <v>0.52083333333333337</v>
      </c>
      <c r="V27" s="5">
        <v>0.72916666666666663</v>
      </c>
      <c r="W27" s="5">
        <v>0.51736111111111105</v>
      </c>
      <c r="X27" s="5">
        <v>0.72569444444444453</v>
      </c>
      <c r="Y27" s="5">
        <v>0.51041666666666663</v>
      </c>
      <c r="Z27" s="5">
        <v>0.72222222222222221</v>
      </c>
      <c r="AA27" s="5">
        <v>0.54513888888888895</v>
      </c>
      <c r="AB27" s="5">
        <v>0.77777777777777779</v>
      </c>
      <c r="AC27" s="5">
        <v>0.53125</v>
      </c>
      <c r="AD27" s="5">
        <v>0.77430555555555547</v>
      </c>
      <c r="AE27" s="5">
        <v>0.52083333333333337</v>
      </c>
      <c r="AF27" s="5">
        <v>0.78125</v>
      </c>
      <c r="AH27" s="5">
        <f t="shared" si="1"/>
        <v>0.52876984126984128</v>
      </c>
      <c r="AI27" s="5">
        <f t="shared" si="4"/>
        <v>0.7516025641025641</v>
      </c>
      <c r="AJ27" s="5">
        <f t="shared" si="2"/>
        <v>0.22283272283272282</v>
      </c>
      <c r="AK27" s="5">
        <f t="shared" si="3"/>
        <v>1.2400793650793607E-2</v>
      </c>
    </row>
    <row r="28" spans="1:37">
      <c r="A28" t="s">
        <v>57</v>
      </c>
      <c r="B28" t="s">
        <v>45</v>
      </c>
      <c r="C28" t="s">
        <v>84</v>
      </c>
      <c r="D28">
        <v>7</v>
      </c>
      <c r="E28" s="5">
        <v>0.52777777777777779</v>
      </c>
      <c r="F28" s="5">
        <v>0.75</v>
      </c>
      <c r="G28" s="5">
        <v>0.56944444444444442</v>
      </c>
      <c r="H28" s="5">
        <v>0.77083333333333337</v>
      </c>
      <c r="I28" s="5">
        <v>0.53472222222222221</v>
      </c>
      <c r="J28" s="5">
        <v>0.78819444444444453</v>
      </c>
      <c r="K28" s="5">
        <v>0.53472222222222221</v>
      </c>
      <c r="L28" s="5">
        <v>0.76736111111111116</v>
      </c>
      <c r="M28" s="5">
        <v>0.55902777777777779</v>
      </c>
      <c r="N28" s="5">
        <v>0.78472222222222221</v>
      </c>
      <c r="O28" s="5">
        <v>0.54861111111111105</v>
      </c>
      <c r="P28" s="5">
        <v>0.75</v>
      </c>
      <c r="Q28" s="5">
        <v>0.55902777777777779</v>
      </c>
      <c r="R28" s="5">
        <v>0.75</v>
      </c>
      <c r="S28" s="5">
        <v>0.53819444444444442</v>
      </c>
      <c r="T28" s="5">
        <v>0.73611111111111116</v>
      </c>
      <c r="U28" s="5">
        <v>0.53472222222222221</v>
      </c>
      <c r="V28" s="5">
        <v>0.73611111111111116</v>
      </c>
      <c r="W28" s="5">
        <v>0.53125</v>
      </c>
      <c r="X28" s="5">
        <v>0.73611111111111116</v>
      </c>
      <c r="Y28" s="5">
        <v>0.52430555555555558</v>
      </c>
      <c r="Z28" s="5">
        <v>0.73263888888888884</v>
      </c>
      <c r="AA28" s="5">
        <v>0.56597222222222221</v>
      </c>
      <c r="AB28" s="5">
        <v>0.78472222222222221</v>
      </c>
      <c r="AC28" s="5">
        <v>0.55208333333333337</v>
      </c>
      <c r="AD28" s="5">
        <v>0.78125</v>
      </c>
      <c r="AE28" s="5">
        <v>0.53819444444444442</v>
      </c>
      <c r="AF28" s="5">
        <v>0.79166666666666663</v>
      </c>
      <c r="AH28" s="5">
        <f t="shared" si="1"/>
        <v>0.54414682539682535</v>
      </c>
      <c r="AI28" s="5">
        <f t="shared" si="4"/>
        <v>0.75961538461538447</v>
      </c>
      <c r="AJ28" s="5">
        <f t="shared" si="2"/>
        <v>0.21546855921855912</v>
      </c>
      <c r="AK28" s="5">
        <f t="shared" si="3"/>
        <v>1.5376984126984072E-2</v>
      </c>
    </row>
    <row r="29" spans="1:37">
      <c r="A29" t="s">
        <v>36</v>
      </c>
      <c r="B29" t="s">
        <v>45</v>
      </c>
      <c r="C29" t="s">
        <v>84</v>
      </c>
      <c r="D29">
        <v>8</v>
      </c>
      <c r="E29" s="5">
        <v>0.54166666666666663</v>
      </c>
      <c r="F29" s="5">
        <v>0.75347222222222221</v>
      </c>
      <c r="G29" s="5">
        <v>0.58333333333333337</v>
      </c>
      <c r="H29" s="5">
        <v>0.78125</v>
      </c>
      <c r="I29" s="5">
        <v>0.55555555555555558</v>
      </c>
      <c r="J29" s="5">
        <v>0.79861111111111116</v>
      </c>
      <c r="K29" s="5">
        <v>0.55208333333333337</v>
      </c>
      <c r="L29" s="5">
        <v>0.77430555555555547</v>
      </c>
      <c r="M29" s="5">
        <v>0.57291666666666663</v>
      </c>
      <c r="N29" s="5">
        <v>0.79166666666666663</v>
      </c>
      <c r="O29" s="5">
        <v>0.5625</v>
      </c>
      <c r="P29" s="5">
        <v>0.75347222222222221</v>
      </c>
      <c r="Q29" s="5">
        <v>0.56944444444444442</v>
      </c>
      <c r="R29" s="5">
        <v>0.75347222222222221</v>
      </c>
      <c r="S29" s="5">
        <v>0.55208333333333337</v>
      </c>
      <c r="T29" s="5">
        <v>0.74305555555555547</v>
      </c>
      <c r="U29" s="5">
        <v>0.54861111111111105</v>
      </c>
      <c r="V29" s="5">
        <v>0.74305555555555547</v>
      </c>
      <c r="W29" s="5">
        <v>0.54513888888888895</v>
      </c>
      <c r="X29" s="5">
        <v>0.74305555555555547</v>
      </c>
      <c r="Y29" s="5">
        <v>0.53819444444444442</v>
      </c>
      <c r="Z29" s="5">
        <v>0.73958333333333337</v>
      </c>
      <c r="AA29" s="5">
        <v>0.58680555555555558</v>
      </c>
      <c r="AB29" s="5">
        <v>0.79166666666666663</v>
      </c>
      <c r="AC29" s="5">
        <v>0.56597222222222221</v>
      </c>
      <c r="AD29" s="5">
        <v>0.78819444444444453</v>
      </c>
      <c r="AE29" s="5">
        <v>0.55902777777777779</v>
      </c>
      <c r="AF29" s="5">
        <v>0.79861111111111116</v>
      </c>
      <c r="AH29" s="5">
        <f t="shared" si="1"/>
        <v>0.55952380952380953</v>
      </c>
      <c r="AI29" s="5">
        <f t="shared" si="4"/>
        <v>0.76629273504273487</v>
      </c>
      <c r="AJ29" s="5">
        <f t="shared" si="2"/>
        <v>0.20676892551892534</v>
      </c>
      <c r="AK29" s="5">
        <f t="shared" si="3"/>
        <v>1.5376984126984183E-2</v>
      </c>
    </row>
    <row r="30" spans="1:37">
      <c r="A30" t="s">
        <v>7</v>
      </c>
      <c r="B30" t="s">
        <v>44</v>
      </c>
      <c r="C30" t="s">
        <v>84</v>
      </c>
      <c r="D30">
        <v>10</v>
      </c>
      <c r="E30" s="5">
        <v>0.60069444444444442</v>
      </c>
      <c r="F30" s="5">
        <v>0.81944444444444453</v>
      </c>
      <c r="G30" s="5">
        <v>0.64930555555555558</v>
      </c>
      <c r="H30" s="5">
        <v>0.80555555555555547</v>
      </c>
      <c r="I30" s="5">
        <v>0.625</v>
      </c>
      <c r="J30" s="5">
        <v>0.82638888888888884</v>
      </c>
      <c r="K30" s="5">
        <v>0.61805555555555558</v>
      </c>
      <c r="L30" s="5">
        <v>0.80208333333333337</v>
      </c>
      <c r="M30" s="5">
        <v>0.64930555555555558</v>
      </c>
      <c r="N30" s="5">
        <v>0.81597222222222221</v>
      </c>
      <c r="O30" s="5">
        <v>0.61458333333333337</v>
      </c>
      <c r="P30" s="5">
        <v>0.81597222222222221</v>
      </c>
      <c r="Q30" s="5">
        <v>0.61111111111111105</v>
      </c>
      <c r="R30" s="5">
        <v>0.81597222222222221</v>
      </c>
      <c r="S30" s="5">
        <v>0.59722222222222221</v>
      </c>
      <c r="T30" s="5">
        <v>0.76388888888888884</v>
      </c>
      <c r="U30" s="5">
        <v>0.59375</v>
      </c>
      <c r="V30" s="5">
        <v>0.76736111111111116</v>
      </c>
      <c r="W30" s="5">
        <v>0.59027777777777779</v>
      </c>
      <c r="X30" s="5">
        <v>0.76388888888888884</v>
      </c>
      <c r="Y30" s="5">
        <v>0.57986111111111105</v>
      </c>
      <c r="Z30" s="5">
        <v>0.76388888888888884</v>
      </c>
      <c r="AA30" s="5">
        <v>0.64583333333333337</v>
      </c>
      <c r="AB30" s="5">
        <v>0.82291666666666663</v>
      </c>
      <c r="AC30" s="5">
        <v>0.64583333333333337</v>
      </c>
      <c r="AD30" s="5">
        <v>0.81944444444444453</v>
      </c>
      <c r="AE30" s="5">
        <v>0.62152777777777779</v>
      </c>
      <c r="AF30" s="5">
        <v>0.82638888888888884</v>
      </c>
      <c r="AH30" s="5">
        <f t="shared" si="1"/>
        <v>0.61731150793650791</v>
      </c>
      <c r="AI30" s="5">
        <f t="shared" si="4"/>
        <v>0.80101495726495731</v>
      </c>
      <c r="AJ30" s="5">
        <f t="shared" si="2"/>
        <v>0.1837034493284494</v>
      </c>
      <c r="AK30" s="5" t="e">
        <f>AH30-#REF!</f>
        <v>#REF!</v>
      </c>
    </row>
    <row r="31" spans="1:37">
      <c r="A31" t="s">
        <v>56</v>
      </c>
      <c r="B31" t="s">
        <v>44</v>
      </c>
      <c r="C31" t="s">
        <v>84</v>
      </c>
      <c r="D31">
        <v>11</v>
      </c>
      <c r="E31" s="5">
        <v>0.61458333333333337</v>
      </c>
      <c r="F31" s="5">
        <v>0.79861111111111116</v>
      </c>
      <c r="G31" s="5">
        <v>0.65972222222222221</v>
      </c>
      <c r="H31" s="5">
        <v>0.8125</v>
      </c>
      <c r="I31" s="5">
        <v>0.63888888888888895</v>
      </c>
      <c r="J31" s="5">
        <v>0.83333333333333337</v>
      </c>
      <c r="K31" s="5">
        <v>0.62847222222222221</v>
      </c>
      <c r="L31" s="5">
        <v>0.80902777777777779</v>
      </c>
      <c r="M31" s="5">
        <v>0.65972222222222221</v>
      </c>
      <c r="N31" s="5">
        <v>0.82638888888888884</v>
      </c>
      <c r="O31" s="5">
        <v>0.625</v>
      </c>
      <c r="P31" s="5">
        <v>0.79513888888888884</v>
      </c>
      <c r="Q31" s="5">
        <v>0.62152777777777779</v>
      </c>
      <c r="R31" s="5">
        <v>0.79513888888888884</v>
      </c>
      <c r="S31" s="5">
        <v>0.61111111111111105</v>
      </c>
      <c r="T31" s="5">
        <v>0.77777777777777779</v>
      </c>
      <c r="U31" s="5">
        <v>0.60763888888888895</v>
      </c>
      <c r="V31" s="5">
        <v>0.78125</v>
      </c>
      <c r="W31" s="5">
        <v>0.60416666666666663</v>
      </c>
      <c r="X31" s="5">
        <v>0.77777777777777779</v>
      </c>
      <c r="Y31" s="5">
        <v>0.59722222222222221</v>
      </c>
      <c r="Z31" s="5">
        <v>0.77777777777777779</v>
      </c>
      <c r="AA31" s="5">
        <v>0.66319444444444442</v>
      </c>
      <c r="AB31" s="5">
        <v>0.83333333333333337</v>
      </c>
      <c r="AC31" s="5">
        <v>0.66319444444444442</v>
      </c>
      <c r="AD31" s="5">
        <v>0.82986111111111116</v>
      </c>
      <c r="AE31" s="5">
        <v>0.63541666666666663</v>
      </c>
      <c r="AF31" s="5">
        <v>0.83680555555555547</v>
      </c>
      <c r="AH31" s="5">
        <f t="shared" si="1"/>
        <v>0.630704365079365</v>
      </c>
      <c r="AI31" s="5">
        <f t="shared" si="4"/>
        <v>0.8044871794871794</v>
      </c>
      <c r="AJ31" s="5">
        <f t="shared" si="2"/>
        <v>0.1737828144078144</v>
      </c>
      <c r="AK31" s="5">
        <f t="shared" si="3"/>
        <v>1.3392857142857095E-2</v>
      </c>
    </row>
    <row r="32" spans="1:37">
      <c r="A32" t="s">
        <v>55</v>
      </c>
      <c r="B32" t="s">
        <v>44</v>
      </c>
      <c r="C32" t="s">
        <v>84</v>
      </c>
      <c r="D32">
        <v>12</v>
      </c>
      <c r="E32" s="5">
        <v>0.62847222222222221</v>
      </c>
      <c r="F32" s="5">
        <v>0.78819444444444453</v>
      </c>
      <c r="G32" s="5">
        <v>0.67013888888888884</v>
      </c>
      <c r="H32" s="5">
        <v>0.82291666666666663</v>
      </c>
      <c r="I32" s="5">
        <v>0.64930555555555558</v>
      </c>
      <c r="J32" s="5">
        <v>0.84027777777777779</v>
      </c>
      <c r="K32" s="5">
        <v>0.63194444444444442</v>
      </c>
      <c r="L32" s="5">
        <v>0.8125</v>
      </c>
      <c r="M32" s="5">
        <v>0.67361111111111116</v>
      </c>
      <c r="N32" s="5">
        <v>0.82986111111111116</v>
      </c>
      <c r="O32" s="5">
        <v>0.63541666666666663</v>
      </c>
      <c r="P32" s="5">
        <v>0.78472222222222221</v>
      </c>
      <c r="Q32" s="5">
        <v>0.63194444444444442</v>
      </c>
      <c r="R32" s="5">
        <v>0.78472222222222221</v>
      </c>
      <c r="S32" s="5">
        <v>0.62152777777777779</v>
      </c>
      <c r="T32" s="5">
        <v>0.78472222222222221</v>
      </c>
      <c r="U32" s="5">
        <v>0.61458333333333337</v>
      </c>
      <c r="V32" s="5">
        <v>0.78819444444444453</v>
      </c>
      <c r="W32" s="5">
        <v>0.61111111111111105</v>
      </c>
      <c r="X32" s="5">
        <v>0.78472222222222221</v>
      </c>
      <c r="Y32" s="5">
        <v>0.60416666666666663</v>
      </c>
      <c r="Z32" s="5">
        <v>0.78472222222222221</v>
      </c>
      <c r="AA32" s="5">
        <v>0.67013888888888884</v>
      </c>
      <c r="AB32" s="5">
        <v>0.84027777777777779</v>
      </c>
      <c r="AC32" s="5">
        <v>0.67013888888888884</v>
      </c>
      <c r="AD32" s="5">
        <v>0.84027777777777779</v>
      </c>
      <c r="AE32" s="5">
        <v>0.64583333333333337</v>
      </c>
      <c r="AF32" s="5">
        <v>0.84375</v>
      </c>
      <c r="AH32" s="5">
        <f t="shared" si="1"/>
        <v>0.63988095238095244</v>
      </c>
      <c r="AI32" s="5">
        <f t="shared" si="4"/>
        <v>0.80769230769230782</v>
      </c>
      <c r="AJ32" s="5">
        <f t="shared" si="2"/>
        <v>0.16781135531135538</v>
      </c>
      <c r="AK32" s="5">
        <f t="shared" si="3"/>
        <v>9.1765873015874355E-3</v>
      </c>
    </row>
    <row r="33" spans="1:37">
      <c r="A33" t="s">
        <v>9</v>
      </c>
      <c r="B33" t="s">
        <v>44</v>
      </c>
      <c r="C33" t="s">
        <v>84</v>
      </c>
      <c r="D33">
        <v>13</v>
      </c>
      <c r="E33" s="5">
        <v>0.63888888888888895</v>
      </c>
      <c r="F33" s="5">
        <v>0.78125</v>
      </c>
      <c r="G33" s="5">
        <v>0.6875</v>
      </c>
      <c r="H33" s="5">
        <v>0.82986111111111116</v>
      </c>
      <c r="I33" s="5">
        <v>0.66666666666666663</v>
      </c>
      <c r="J33" s="5">
        <v>0.85069444444444453</v>
      </c>
      <c r="K33" s="5">
        <v>0.64930555555555558</v>
      </c>
      <c r="L33" s="5">
        <v>0.81944444444444453</v>
      </c>
      <c r="M33" s="5">
        <v>0.6875</v>
      </c>
      <c r="N33" s="5">
        <v>0.83680555555555547</v>
      </c>
      <c r="O33" s="5">
        <v>0.64930555555555558</v>
      </c>
      <c r="P33" s="5">
        <v>0.77777777777777779</v>
      </c>
      <c r="Q33" s="5">
        <v>0.64583333333333337</v>
      </c>
      <c r="R33" s="5">
        <v>0.77777777777777779</v>
      </c>
      <c r="S33" s="5">
        <v>0.63541666666666663</v>
      </c>
      <c r="T33" s="5">
        <v>0.79861111111111116</v>
      </c>
      <c r="U33" s="5">
        <v>0.62847222222222221</v>
      </c>
      <c r="V33" s="5">
        <v>0.79861111111111116</v>
      </c>
      <c r="W33" s="5">
        <v>0.625</v>
      </c>
      <c r="X33" s="5">
        <v>0.79861111111111116</v>
      </c>
      <c r="Y33" s="5">
        <v>0.61805555555555558</v>
      </c>
      <c r="Z33" s="5">
        <v>0.79861111111111116</v>
      </c>
      <c r="AA33" s="5">
        <v>0.6875</v>
      </c>
      <c r="AB33" s="5">
        <v>0.85416666666666663</v>
      </c>
      <c r="AC33" s="5">
        <v>0.69444444444444453</v>
      </c>
      <c r="AD33" s="5">
        <v>0.85069444444444453</v>
      </c>
      <c r="AE33" s="5">
        <v>0.59375</v>
      </c>
      <c r="AF33" s="5">
        <v>0.85763888888888884</v>
      </c>
      <c r="AH33" s="5">
        <f t="shared" si="1"/>
        <v>0.65054563492063477</v>
      </c>
      <c r="AI33" s="5">
        <f t="shared" si="4"/>
        <v>0.81490384615384615</v>
      </c>
      <c r="AJ33" s="5">
        <f t="shared" si="2"/>
        <v>0.16435821123321137</v>
      </c>
      <c r="AK33" s="5">
        <f t="shared" si="3"/>
        <v>1.0664682539682335E-2</v>
      </c>
    </row>
    <row r="34" spans="1:37">
      <c r="A34" t="s">
        <v>54</v>
      </c>
      <c r="B34" t="s">
        <v>44</v>
      </c>
      <c r="C34" t="s">
        <v>84</v>
      </c>
      <c r="D34">
        <v>14</v>
      </c>
      <c r="E34" s="5">
        <v>0.65277777777777779</v>
      </c>
      <c r="F34" s="5">
        <v>0.77430555555555547</v>
      </c>
      <c r="G34" s="5">
        <v>0.69791666666666663</v>
      </c>
      <c r="H34" s="5">
        <v>0.83680555555555547</v>
      </c>
      <c r="I34" s="5">
        <v>0.67708333333333337</v>
      </c>
      <c r="J34" s="5">
        <v>0.85763888888888884</v>
      </c>
      <c r="K34" s="5">
        <v>0.65972222222222221</v>
      </c>
      <c r="L34" s="5">
        <v>0.82638888888888884</v>
      </c>
      <c r="M34" s="5">
        <v>0.69791666666666663</v>
      </c>
      <c r="N34" s="5">
        <v>0.84375</v>
      </c>
      <c r="O34" s="5">
        <v>0.65972222222222221</v>
      </c>
      <c r="P34" s="5">
        <v>0.77083333333333337</v>
      </c>
      <c r="Q34" s="5">
        <v>0.65625</v>
      </c>
      <c r="R34" s="5">
        <v>0.77083333333333337</v>
      </c>
      <c r="S34" s="5">
        <v>0.64583333333333337</v>
      </c>
      <c r="T34" s="5">
        <v>0.8125</v>
      </c>
      <c r="U34" s="5">
        <v>0.63888888888888895</v>
      </c>
      <c r="V34" s="5">
        <v>0.8125</v>
      </c>
      <c r="W34" s="5">
        <v>0.63541666666666663</v>
      </c>
      <c r="X34" s="5">
        <v>0.8125</v>
      </c>
      <c r="Y34" s="5">
        <v>0.63194444444444442</v>
      </c>
      <c r="Z34" s="5">
        <v>0.8125</v>
      </c>
      <c r="AA34" s="5">
        <v>0.69791666666666663</v>
      </c>
      <c r="AB34" s="5">
        <v>0.86458333333333337</v>
      </c>
      <c r="AC34" s="5">
        <v>0.70138888888888884</v>
      </c>
      <c r="AD34" s="5">
        <v>0.86458333333333337</v>
      </c>
      <c r="AE34" s="5">
        <v>0.60416666666666663</v>
      </c>
      <c r="AF34" s="5">
        <v>0.86805555555555547</v>
      </c>
      <c r="AH34" s="5">
        <f t="shared" si="1"/>
        <v>0.66121031746031744</v>
      </c>
      <c r="AI34" s="5">
        <f t="shared" si="4"/>
        <v>0.82184829059829068</v>
      </c>
      <c r="AJ34" s="5">
        <f t="shared" si="2"/>
        <v>0.16063797313797323</v>
      </c>
      <c r="AK34" s="5">
        <f t="shared" si="3"/>
        <v>1.0664682539682668E-2</v>
      </c>
    </row>
    <row r="36" spans="1:37">
      <c r="S36" t="s">
        <v>93</v>
      </c>
      <c r="AK36" s="5" t="e">
        <f>SUM(AK22:AK34)</f>
        <v>#REF!</v>
      </c>
    </row>
    <row r="37" spans="1:37">
      <c r="AK37" s="5" t="e">
        <f>AVERAGE(AK22:AK34)</f>
        <v>#REF!</v>
      </c>
    </row>
  </sheetData>
  <pageMargins left="0.70866141732283472" right="0.70866141732283472" top="0.74803149606299213" bottom="0.74803149606299213" header="0.31496062992125984" footer="0.31496062992125984"/>
  <pageSetup paperSize="8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Toilet Information</vt:lpstr>
      <vt:lpstr>Totals</vt:lpstr>
      <vt:lpstr>Count Number (Actual)</vt:lpstr>
      <vt:lpstr>Utility Costs</vt:lpstr>
      <vt:lpstr>Open &amp; Close</vt:lpstr>
      <vt:lpstr>Cleaning Times</vt:lpstr>
    </vt:vector>
  </TitlesOfParts>
  <Company>Torbay Council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ensr023</dc:creator>
  <cp:lastModifiedBy>cmls019</cp:lastModifiedBy>
  <cp:lastPrinted>2017-01-16T14:32:23Z</cp:lastPrinted>
  <dcterms:created xsi:type="dcterms:W3CDTF">2015-03-23T11:56:58Z</dcterms:created>
  <dcterms:modified xsi:type="dcterms:W3CDTF">2017-04-28T15:27:31Z</dcterms:modified>
</cp:coreProperties>
</file>