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codeName="ThisWorkbook" defaultThemeVersion="124226"/>
  <mc:AlternateContent xmlns:mc="http://schemas.openxmlformats.org/markup-compatibility/2006">
    <mc:Choice Requires="x15">
      <x15ac:absPath xmlns:x15ac="http://schemas.microsoft.com/office/spreadsheetml/2010/11/ac" url="https://bromley-my.sharepoint.com/personal/jon_butterfill_bromley_gov_uk/Documents/Desktop/Dom Care/"/>
    </mc:Choice>
  </mc:AlternateContent>
  <xr:revisionPtr revIDLastSave="0" documentId="8_{BB83BF9C-FE44-4C7C-9DAF-2ECE25915A45}" xr6:coauthVersionLast="47" xr6:coauthVersionMax="47" xr10:uidLastSave="{00000000-0000-0000-0000-000000000000}"/>
  <bookViews>
    <workbookView xWindow="-110" yWindow="-110" windowWidth="19420" windowHeight="10420" tabRatio="920" firstSheet="3" activeTab="3" xr2:uid="{00000000-000D-0000-FFFF-FFFF00000000}"/>
  </bookViews>
  <sheets>
    <sheet name="Cover page" sheetId="40" r:id="rId1"/>
    <sheet name="Guide" sheetId="39" r:id="rId2"/>
    <sheet name="Unit Costs (Example)" sheetId="21" r:id="rId3"/>
    <sheet name="Unit Costs (Blank)" sheetId="42" r:id="rId4"/>
    <sheet name="Version control" sheetId="41" r:id="rId5"/>
  </sheets>
  <externalReferences>
    <externalReference r:id="rId6"/>
  </externalReferences>
  <definedNames>
    <definedName name="ENGCCGS">#REF!</definedName>
    <definedName name="ENGSTPS">#REF!</definedName>
    <definedName name="LOCALAUTH">#REF!</definedName>
    <definedName name="NATIONAL">#REF!</definedName>
    <definedName name="NHSENGAREAS">#REF!</definedName>
    <definedName name="NI_HSCT">#REF!</definedName>
    <definedName name="ORGTYPE" localSheetId="1">'[1]Population selection'!$L$12:$L$18</definedName>
    <definedName name="ORGTYPE">#REF!</definedName>
    <definedName name="PER100K">#REF!</definedName>
    <definedName name="_xlnm.Print_Area" localSheetId="1">Guide!$B$2:$D$26</definedName>
    <definedName name="_xlnm.Print_Area" localSheetId="3">'Unit Costs (Blank)'!$C$2:$L$240</definedName>
    <definedName name="_xlnm.Print_Area" localSheetId="2">'Unit Costs (Example)'!$C$2:$L$240</definedName>
    <definedName name="_xlnm.Print_Area">#REF!</definedName>
    <definedName name="Print_Area2">#REF!</definedName>
    <definedName name="_xlnm.Print_Titles">#N/A</definedName>
    <definedName name="Text71" localSheetId="1">Guide!#REF!</definedName>
    <definedName name="Text72" localSheetId="1">Guide!#REF!</definedName>
    <definedName name="WALESH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4" i="42" l="1"/>
  <c r="H92" i="42"/>
  <c r="I61" i="42"/>
  <c r="I63" i="42" s="1"/>
  <c r="I51" i="42"/>
  <c r="J179" i="42"/>
  <c r="J158" i="42"/>
  <c r="H157" i="42"/>
  <c r="H156" i="42"/>
  <c r="H155" i="42"/>
  <c r="J147" i="42"/>
  <c r="F147" i="42"/>
  <c r="F179" i="42" s="1"/>
  <c r="F146" i="42"/>
  <c r="F178" i="42" s="1"/>
  <c r="F145" i="42"/>
  <c r="F177" i="42" s="1"/>
  <c r="F144" i="42"/>
  <c r="F176" i="42" s="1"/>
  <c r="F143" i="42"/>
  <c r="F175" i="42" s="1"/>
  <c r="F142" i="42"/>
  <c r="F174" i="42" s="1"/>
  <c r="F141" i="42"/>
  <c r="F173" i="42" s="1"/>
  <c r="F140" i="42"/>
  <c r="F172" i="42" s="1"/>
  <c r="H136" i="42"/>
  <c r="J134" i="42"/>
  <c r="I134" i="42"/>
  <c r="J126" i="42"/>
  <c r="H123" i="42"/>
  <c r="H114" i="42"/>
  <c r="J110" i="42"/>
  <c r="J104" i="42"/>
  <c r="J95" i="42"/>
  <c r="H94" i="42"/>
  <c r="H93" i="42"/>
  <c r="I92" i="42"/>
  <c r="S76" i="42"/>
  <c r="R75" i="42"/>
  <c r="R76" i="42" s="1"/>
  <c r="S73" i="42"/>
  <c r="R73" i="42"/>
  <c r="I70" i="42"/>
  <c r="J69" i="42"/>
  <c r="I69" i="42"/>
  <c r="J61" i="42"/>
  <c r="J71" i="42" s="1"/>
  <c r="I41" i="42"/>
  <c r="J41" i="42" s="1"/>
  <c r="I40" i="42"/>
  <c r="J40" i="42" s="1"/>
  <c r="I39" i="42"/>
  <c r="I38" i="42"/>
  <c r="I37" i="42"/>
  <c r="J37" i="42" s="1"/>
  <c r="G25" i="42"/>
  <c r="G24" i="42"/>
  <c r="G19" i="42"/>
  <c r="I166" i="42" s="1"/>
  <c r="J166" i="42" s="1"/>
  <c r="H18" i="42"/>
  <c r="H16" i="42"/>
  <c r="H15" i="42"/>
  <c r="H14" i="42"/>
  <c r="I71" i="42" l="1"/>
  <c r="I62" i="42"/>
  <c r="I65" i="42" s="1"/>
  <c r="I68" i="42" s="1"/>
  <c r="J70" i="42"/>
  <c r="J63" i="42"/>
  <c r="J115" i="42" s="1"/>
  <c r="J62" i="42"/>
  <c r="H19" i="42"/>
  <c r="I162" i="42" s="1"/>
  <c r="J162" i="42" s="1"/>
  <c r="I114" i="42"/>
  <c r="I116" i="42" s="1"/>
  <c r="J16" i="42"/>
  <c r="J39" i="42"/>
  <c r="I53" i="42"/>
  <c r="I178" i="42"/>
  <c r="J178" i="42" s="1"/>
  <c r="I93" i="42"/>
  <c r="I102" i="42"/>
  <c r="I101" i="42"/>
  <c r="I94" i="42"/>
  <c r="I100" i="42"/>
  <c r="I175" i="42"/>
  <c r="J175" i="42" s="1"/>
  <c r="J38" i="42"/>
  <c r="J100" i="42"/>
  <c r="I155" i="42"/>
  <c r="I173" i="42"/>
  <c r="J173" i="42" s="1"/>
  <c r="G31" i="42"/>
  <c r="I176" i="42"/>
  <c r="J176" i="42" s="1"/>
  <c r="I83" i="42"/>
  <c r="I85" i="42" s="1"/>
  <c r="J92" i="42"/>
  <c r="J114" i="42"/>
  <c r="I42" i="42"/>
  <c r="J83" i="42"/>
  <c r="J85" i="42" s="1"/>
  <c r="I142" i="42"/>
  <c r="J142" i="42" s="1"/>
  <c r="J174" i="42"/>
  <c r="I177" i="42"/>
  <c r="J177" i="42" s="1"/>
  <c r="I172" i="42"/>
  <c r="H8" i="21"/>
  <c r="K18" i="21"/>
  <c r="J65" i="42" l="1"/>
  <c r="J68" i="42" s="1"/>
  <c r="J116" i="42"/>
  <c r="I163" i="42"/>
  <c r="J163" i="42" s="1"/>
  <c r="I144" i="42"/>
  <c r="J144" i="42" s="1"/>
  <c r="I123" i="42"/>
  <c r="I146" i="42"/>
  <c r="J146" i="42" s="1"/>
  <c r="I133" i="42"/>
  <c r="J133" i="42" s="1"/>
  <c r="I165" i="42"/>
  <c r="J165" i="42" s="1"/>
  <c r="I141" i="42"/>
  <c r="J141" i="42" s="1"/>
  <c r="I131" i="42"/>
  <c r="J131" i="42" s="1"/>
  <c r="K18" i="42"/>
  <c r="H8" i="42" s="1"/>
  <c r="J155" i="42"/>
  <c r="I132" i="42"/>
  <c r="J132" i="42" s="1"/>
  <c r="J123" i="42"/>
  <c r="I140" i="42"/>
  <c r="J140" i="42" s="1"/>
  <c r="I145" i="42"/>
  <c r="J145" i="42" s="1"/>
  <c r="I130" i="42"/>
  <c r="J130" i="42" s="1"/>
  <c r="I164" i="42"/>
  <c r="J164" i="42" s="1"/>
  <c r="I143" i="42"/>
  <c r="J143" i="42" s="1"/>
  <c r="I168" i="42"/>
  <c r="J168" i="42"/>
  <c r="J136" i="42"/>
  <c r="I136" i="42"/>
  <c r="H167" i="42"/>
  <c r="H135" i="42"/>
  <c r="J172" i="42"/>
  <c r="J180" i="42" s="1"/>
  <c r="I180" i="42"/>
  <c r="J93" i="42"/>
  <c r="J102" i="42"/>
  <c r="J94" i="42"/>
  <c r="J101" i="42"/>
  <c r="J148" i="42"/>
  <c r="I72" i="42"/>
  <c r="I74" i="42" s="1"/>
  <c r="I96" i="42"/>
  <c r="I55" i="42"/>
  <c r="I148" i="42"/>
  <c r="H40" i="21"/>
  <c r="H37" i="21"/>
  <c r="H39" i="21"/>
  <c r="H38" i="21"/>
  <c r="J96" i="42" l="1"/>
  <c r="J99" i="42" s="1"/>
  <c r="L16" i="42"/>
  <c r="I78" i="42"/>
  <c r="I77" i="42"/>
  <c r="I80" i="42" s="1"/>
  <c r="I87" i="42" s="1"/>
  <c r="I188" i="42" s="1"/>
  <c r="I167" i="42"/>
  <c r="I169" i="42" s="1"/>
  <c r="J167" i="42"/>
  <c r="J169" i="42" s="1"/>
  <c r="J72" i="42"/>
  <c r="J74" i="42" s="1"/>
  <c r="I99" i="42"/>
  <c r="J135" i="42"/>
  <c r="J137" i="42" s="1"/>
  <c r="I135" i="42"/>
  <c r="I137" i="42" s="1"/>
  <c r="G19" i="21"/>
  <c r="I166" i="21" s="1"/>
  <c r="H114" i="21"/>
  <c r="H94" i="21"/>
  <c r="H93" i="21"/>
  <c r="H92" i="21"/>
  <c r="I41" i="21"/>
  <c r="J77" i="42" l="1"/>
  <c r="J78" i="42"/>
  <c r="J103" i="42"/>
  <c r="J105" i="42" s="1"/>
  <c r="I103" i="42"/>
  <c r="I105" i="42" s="1"/>
  <c r="J41" i="21"/>
  <c r="I124" i="42" l="1"/>
  <c r="I109" i="42"/>
  <c r="I108" i="42"/>
  <c r="I125" i="42"/>
  <c r="I156" i="42"/>
  <c r="I157" i="42"/>
  <c r="J108" i="42"/>
  <c r="J111" i="42" s="1"/>
  <c r="J118" i="42" s="1"/>
  <c r="J194" i="42" s="1"/>
  <c r="J109" i="42"/>
  <c r="J125" i="42"/>
  <c r="J156" i="42"/>
  <c r="J157" i="42"/>
  <c r="J124" i="42"/>
  <c r="J127" i="42" s="1"/>
  <c r="J150" i="42" s="1"/>
  <c r="J189" i="42" s="1"/>
  <c r="J80" i="42"/>
  <c r="J87" i="42" s="1"/>
  <c r="J188" i="42" s="1"/>
  <c r="H16" i="21"/>
  <c r="J16" i="21" s="1"/>
  <c r="L16" i="21" s="1"/>
  <c r="S76" i="21"/>
  <c r="R75" i="21"/>
  <c r="R76" i="21" s="1"/>
  <c r="S73" i="21"/>
  <c r="R73" i="21"/>
  <c r="J190" i="42" l="1"/>
  <c r="J191" i="42"/>
  <c r="I159" i="42"/>
  <c r="I182" i="42" s="1"/>
  <c r="I195" i="42" s="1"/>
  <c r="J159" i="42"/>
  <c r="J182" i="42" s="1"/>
  <c r="J195" i="42" s="1"/>
  <c r="I111" i="42"/>
  <c r="I118" i="42" s="1"/>
  <c r="I194" i="42" s="1"/>
  <c r="I127" i="42"/>
  <c r="I150" i="42" s="1"/>
  <c r="I189" i="42" s="1"/>
  <c r="I92" i="21"/>
  <c r="J92" i="21"/>
  <c r="J196" i="42" l="1"/>
  <c r="J197" i="42" s="1"/>
  <c r="I190" i="42"/>
  <c r="I191" i="42"/>
  <c r="I196" i="42"/>
  <c r="I197" i="42" s="1"/>
  <c r="I100" i="21"/>
  <c r="J100" i="21"/>
  <c r="H123" i="21"/>
  <c r="H155" i="21"/>
  <c r="J102" i="21"/>
  <c r="J101" i="21"/>
  <c r="J93" i="21"/>
  <c r="J94" i="21"/>
  <c r="I94" i="21"/>
  <c r="I93" i="21"/>
  <c r="J61" i="21"/>
  <c r="J63" i="21" s="1"/>
  <c r="I63" i="21"/>
  <c r="I62" i="21"/>
  <c r="I65" i="21" l="1"/>
  <c r="I96" i="21"/>
  <c r="J62" i="21"/>
  <c r="J65" i="21" s="1"/>
  <c r="J96" i="21"/>
  <c r="J99" i="21" s="1"/>
  <c r="J103" i="21" s="1"/>
  <c r="I37" i="21"/>
  <c r="H19" i="21"/>
  <c r="H18" i="21"/>
  <c r="I176" i="21" l="1"/>
  <c r="I174" i="21"/>
  <c r="I172" i="21"/>
  <c r="I177" i="21"/>
  <c r="I175" i="21"/>
  <c r="I173" i="21"/>
  <c r="I114" i="21"/>
  <c r="J114" i="21"/>
  <c r="I155" i="21"/>
  <c r="I141" i="21"/>
  <c r="I143" i="21"/>
  <c r="I145" i="21"/>
  <c r="I140" i="21"/>
  <c r="I142" i="21"/>
  <c r="I144" i="21"/>
  <c r="I123" i="21"/>
  <c r="H136" i="21"/>
  <c r="J110" i="21" l="1"/>
  <c r="J104" i="21"/>
  <c r="H157" i="21" l="1"/>
  <c r="H156" i="21"/>
  <c r="H15" i="21"/>
  <c r="H14" i="21"/>
  <c r="I40" i="21"/>
  <c r="I39" i="21"/>
  <c r="F143" i="21" l="1"/>
  <c r="F144" i="21"/>
  <c r="F176" i="21" s="1"/>
  <c r="F145" i="21"/>
  <c r="F177" i="21" s="1"/>
  <c r="F146" i="21"/>
  <c r="F175" i="21"/>
  <c r="F178" i="21"/>
  <c r="J126" i="21"/>
  <c r="J158" i="21"/>
  <c r="J179" i="21"/>
  <c r="I134" i="21"/>
  <c r="J134" i="21"/>
  <c r="J95" i="21"/>
  <c r="J83" i="21" l="1"/>
  <c r="I83" i="21"/>
  <c r="J166" i="21"/>
  <c r="I69" i="21" l="1"/>
  <c r="I116" i="21"/>
  <c r="I102" i="21"/>
  <c r="I101" i="21"/>
  <c r="I99" i="21" l="1"/>
  <c r="I103" i="21" l="1"/>
  <c r="I105" i="21" s="1"/>
  <c r="I108" i="21" l="1"/>
  <c r="I109" i="21"/>
  <c r="J105" i="21"/>
  <c r="I111" i="21" l="1"/>
  <c r="J108" i="21"/>
  <c r="J109" i="21"/>
  <c r="I118" i="21" l="1"/>
  <c r="I194" i="21" s="1"/>
  <c r="J111" i="21"/>
  <c r="I38" i="21" l="1"/>
  <c r="I42" i="21" s="1"/>
  <c r="J147" i="21"/>
  <c r="I163" i="21" l="1"/>
  <c r="I131" i="21"/>
  <c r="I133" i="21"/>
  <c r="I165" i="21"/>
  <c r="I130" i="21"/>
  <c r="I162" i="21"/>
  <c r="I132" i="21"/>
  <c r="I164" i="21"/>
  <c r="J115" i="21" l="1"/>
  <c r="J116" i="21" s="1"/>
  <c r="J118" i="21" s="1"/>
  <c r="J194" i="21" s="1"/>
  <c r="F142" i="21" l="1"/>
  <c r="F174" i="21" s="1"/>
  <c r="F141" i="21"/>
  <c r="F173" i="21" s="1"/>
  <c r="J40" i="21"/>
  <c r="J39" i="21"/>
  <c r="G25" i="21"/>
  <c r="G24" i="21"/>
  <c r="J168" i="21" l="1"/>
  <c r="I168" i="21"/>
  <c r="J155" i="21"/>
  <c r="J123" i="21"/>
  <c r="J175" i="21"/>
  <c r="I136" i="21"/>
  <c r="J142" i="21"/>
  <c r="J144" i="21"/>
  <c r="J141" i="21"/>
  <c r="J143" i="21"/>
  <c r="J145" i="21"/>
  <c r="J136" i="21"/>
  <c r="J130" i="21"/>
  <c r="J174" i="21"/>
  <c r="J177" i="21"/>
  <c r="J173" i="21"/>
  <c r="J163" i="21"/>
  <c r="J162" i="21"/>
  <c r="G31" i="21"/>
  <c r="I51" i="21"/>
  <c r="I178" i="21" s="1"/>
  <c r="J38" i="21"/>
  <c r="J37" i="21"/>
  <c r="I146" i="21" l="1"/>
  <c r="J146" i="21" s="1"/>
  <c r="J178" i="21"/>
  <c r="J131" i="21"/>
  <c r="J164" i="21"/>
  <c r="J132" i="21"/>
  <c r="H135" i="21"/>
  <c r="I135" i="21" s="1"/>
  <c r="H167" i="21"/>
  <c r="J176" i="21"/>
  <c r="J172" i="21"/>
  <c r="J165" i="21"/>
  <c r="J133" i="21"/>
  <c r="I53" i="21"/>
  <c r="I55" i="21" s="1"/>
  <c r="J140" i="21"/>
  <c r="J69" i="21"/>
  <c r="I71" i="21"/>
  <c r="I70" i="21"/>
  <c r="I167" i="21" l="1"/>
  <c r="J167" i="21"/>
  <c r="J169" i="21" s="1"/>
  <c r="J135" i="21"/>
  <c r="I180" i="21"/>
  <c r="I148" i="21"/>
  <c r="J148" i="21"/>
  <c r="I137" i="21"/>
  <c r="J180" i="21"/>
  <c r="I68" i="21"/>
  <c r="I72" i="21" s="1"/>
  <c r="I74" i="21" s="1"/>
  <c r="J71" i="21"/>
  <c r="J70" i="21"/>
  <c r="I157" i="21" l="1"/>
  <c r="I156" i="21"/>
  <c r="I124" i="21"/>
  <c r="I125" i="21"/>
  <c r="J137" i="21"/>
  <c r="I77" i="21"/>
  <c r="I78" i="21"/>
  <c r="F147" i="21"/>
  <c r="F179" i="21" s="1"/>
  <c r="F140" i="21"/>
  <c r="F172" i="21" s="1"/>
  <c r="I159" i="21" l="1"/>
  <c r="I127" i="21"/>
  <c r="I150" i="21" s="1"/>
  <c r="I189" i="21" s="1"/>
  <c r="J68" i="21" l="1"/>
  <c r="J72" i="21" s="1"/>
  <c r="J74" i="21" s="1"/>
  <c r="J157" i="21" l="1"/>
  <c r="J156" i="21"/>
  <c r="J124" i="21"/>
  <c r="J125" i="21"/>
  <c r="J77" i="21"/>
  <c r="J78" i="21"/>
  <c r="J159" i="21" l="1"/>
  <c r="J182" i="21" s="1"/>
  <c r="J195" i="21" s="1"/>
  <c r="J196" i="21" s="1"/>
  <c r="J197" i="21" s="1"/>
  <c r="J127" i="21"/>
  <c r="J150" i="21" s="1"/>
  <c r="J189" i="21" s="1"/>
  <c r="J85" i="21" l="1"/>
  <c r="I85" i="21"/>
  <c r="J80" i="21"/>
  <c r="I80" i="21"/>
  <c r="J87" i="21" l="1"/>
  <c r="J188" i="21" s="1"/>
  <c r="I87" i="21"/>
  <c r="J190" i="21" l="1"/>
  <c r="J191" i="21" s="1"/>
  <c r="I188" i="21"/>
  <c r="I190" i="21" l="1"/>
  <c r="I191" i="21" s="1"/>
  <c r="I169" i="21" l="1"/>
  <c r="I182" i="21" s="1"/>
  <c r="I195" i="21" s="1"/>
  <c r="I196" i="21" l="1"/>
  <c r="I197" i="21" s="1"/>
</calcChain>
</file>

<file path=xl/sharedStrings.xml><?xml version="1.0" encoding="utf-8"?>
<sst xmlns="http://schemas.openxmlformats.org/spreadsheetml/2006/main" count="715" uniqueCount="215">
  <si>
    <t>Homecare Sustainable Provider Operating Costing Tool (SPOCT), advanced version</t>
  </si>
  <si>
    <t>&lt;Commissioner name&gt;</t>
  </si>
  <si>
    <t>&lt;Contract name&gt;</t>
  </si>
  <si>
    <t>&lt;Other text&gt;</t>
  </si>
  <si>
    <t>&lt;Date dd/mm/yy&gt;</t>
  </si>
  <si>
    <t>&lt;version x&gt;</t>
  </si>
  <si>
    <t>Guide</t>
  </si>
  <si>
    <t>Within this document, cells highlighted in light blue are for users to add detail relevant to local circumstances to make adjustments to the model.</t>
  </si>
  <si>
    <r>
      <t xml:space="preserve">The </t>
    </r>
    <r>
      <rPr>
        <b/>
        <sz val="11"/>
        <color indexed="8"/>
        <rFont val="Arial"/>
        <family val="2"/>
      </rPr>
      <t xml:space="preserve">unit costs </t>
    </r>
    <r>
      <rPr>
        <sz val="11"/>
        <color indexed="8"/>
        <rFont val="Arial"/>
        <family val="2"/>
      </rPr>
      <t>worksheet allows users to see the unit costs used in this template including the default settings.  These can be amended (in blue cells) to take account of local factors to tailor a local unit cost.</t>
    </r>
  </si>
  <si>
    <t>The worksheet works out the indicative hourly rate to be paid for homecare based on parameters that are input.  This tool should be used for each new contract that is being costed.</t>
  </si>
  <si>
    <r>
      <rPr>
        <u/>
        <sz val="11"/>
        <rFont val="Arial"/>
        <family val="2"/>
      </rPr>
      <t>Key contract / local operating variables</t>
    </r>
    <r>
      <rPr>
        <sz val="11"/>
        <rFont val="Arial"/>
        <family val="2"/>
      </rPr>
      <t xml:space="preserve">
This is key data about the contract and that are applicable to the provider.  These are used throughout the costing tool to split costs across all the hours worked to get a final indicative hourly rate.</t>
    </r>
  </si>
  <si>
    <r>
      <rPr>
        <u/>
        <sz val="11"/>
        <rFont val="Arial"/>
        <family val="2"/>
      </rPr>
      <t>Indirect cost elements - Values and apportionments methods</t>
    </r>
    <r>
      <rPr>
        <sz val="11"/>
        <rFont val="Arial"/>
        <family val="2"/>
      </rPr>
      <t xml:space="preserve">
These are costs that the provider of the contract will incur that have to be covered.  They are typically seen as 'back office costs' and not costs of the actual staff giving a hands-on homecare service.  </t>
    </r>
  </si>
  <si>
    <r>
      <rPr>
        <u/>
        <sz val="11"/>
        <rFont val="Arial"/>
        <family val="2"/>
      </rPr>
      <t>Care worker - type 1 - direct costs</t>
    </r>
    <r>
      <rPr>
        <sz val="11"/>
        <rFont val="Arial"/>
        <family val="2"/>
      </rPr>
      <t xml:space="preserve">
These are the direct costs of the staff who provide homecare.  This is 'type 1' of staff recognising that there may be 2 types of staff who give homecare, perhaps on slightly different T&amp;Cs such as a different hourly rate of pay.</t>
    </r>
  </si>
  <si>
    <r>
      <rPr>
        <u/>
        <sz val="11"/>
        <rFont val="Arial"/>
        <family val="2"/>
      </rPr>
      <t>Care worker - type 2 - direct costs</t>
    </r>
    <r>
      <rPr>
        <sz val="11"/>
        <rFont val="Arial"/>
        <family val="2"/>
      </rPr>
      <t xml:space="preserve">
These are the direct costs of the staff who provide homecare.  This is 'type 2' of staff recognising that there may be 2 types of staff who give homecare, perhaps on slightly different T&amp;Cs such as a different hourly rate of pay.</t>
    </r>
  </si>
  <si>
    <r>
      <rPr>
        <u/>
        <sz val="11"/>
        <rFont val="Arial"/>
        <family val="2"/>
      </rPr>
      <t>Indirect cost elements - Values applied to care worker type 1</t>
    </r>
    <r>
      <rPr>
        <sz val="11"/>
        <rFont val="Arial"/>
        <family val="2"/>
      </rPr>
      <t xml:space="preserve">
These are the portions of 'indirect costs' that are applied to the care worker type 1.  These costs are allocated here based on data input higher up the page.  Typically this is the overhead-type costs. </t>
    </r>
  </si>
  <si>
    <r>
      <rPr>
        <u/>
        <sz val="11"/>
        <rFont val="Arial"/>
        <family val="2"/>
      </rPr>
      <t>Indirect cost elements - Values applied to care worker type 2</t>
    </r>
    <r>
      <rPr>
        <sz val="11"/>
        <rFont val="Arial"/>
        <family val="2"/>
      </rPr>
      <t xml:space="preserve">
These are the portions of 'indirect costs' that are applied to the care worker type 2.  These costs are allocated here based on data input higher up the page.  Typically this is the overhead-type costs. </t>
    </r>
  </si>
  <si>
    <r>
      <rPr>
        <u/>
        <sz val="11"/>
        <rFont val="Arial"/>
        <family val="2"/>
      </rPr>
      <t>Summary</t>
    </r>
    <r>
      <rPr>
        <sz val="11"/>
        <rFont val="Arial"/>
        <family val="2"/>
      </rPr>
      <t xml:space="preserve">
This adds together all the types of costs for each of the two types of care worker.  The costs are direct costs and then indirect costs added on top.  An amount of contribution to profit is seen here too. </t>
    </r>
  </si>
  <si>
    <r>
      <t xml:space="preserve">© ADASS </t>
    </r>
    <r>
      <rPr>
        <sz val="11"/>
        <color theme="1"/>
        <rFont val="Calibri"/>
        <family val="2"/>
        <scheme val="minor"/>
      </rPr>
      <t>2019. All rights reserved.</t>
    </r>
  </si>
  <si>
    <t>Indicative unit costs calculation sheet</t>
  </si>
  <si>
    <t>Table 1a</t>
  </si>
  <si>
    <t>Activity volume</t>
  </si>
  <si>
    <t>Cost element</t>
  </si>
  <si>
    <t>Unit</t>
  </si>
  <si>
    <t>Value</t>
  </si>
  <si>
    <t>Notes</t>
  </si>
  <si>
    <t>Number of home care hours in contract</t>
  </si>
  <si>
    <t>Hours</t>
  </si>
  <si>
    <t>Indicative number of hours to be commissioned / provided for the period of the contract (assumed one year)</t>
  </si>
  <si>
    <t>Table 1b</t>
  </si>
  <si>
    <t>Key contract / local operating variables</t>
  </si>
  <si>
    <t>Item</t>
  </si>
  <si>
    <t>Total number of hours per week of service delivery</t>
  </si>
  <si>
    <t>Duration of contract (weeks)</t>
  </si>
  <si>
    <t>Of the total hours per week, number of 30 mins slots</t>
  </si>
  <si>
    <t>hours</t>
  </si>
  <si>
    <t>Ensure total of time slots agree to total number of weekly hours of service delivery. See NICE guidance NG21, recommendation 1.4</t>
  </si>
  <si>
    <t>Of the total hours per week, number of 45 mins slots</t>
  </si>
  <si>
    <t>Of the total hours per week, number of 60 mins slots</t>
  </si>
  <si>
    <t>Total hours</t>
  </si>
  <si>
    <t>Average hours per week per service user (SU)</t>
  </si>
  <si>
    <t>Average hours per week per care worker type 1 (CW1)</t>
  </si>
  <si>
    <t>Hours per week of care worker type 1</t>
  </si>
  <si>
    <t>Hours per week</t>
  </si>
  <si>
    <t>Average hours per week per care worker type 2 (CW2)</t>
  </si>
  <si>
    <t>Hours per week of care worker type 2</t>
  </si>
  <si>
    <t>Percentage of SUs requiring medication administration</t>
  </si>
  <si>
    <t>See NICE guidance NG21, recommendation 1.5</t>
  </si>
  <si>
    <t>Staff Turnover (as a percentage)</t>
  </si>
  <si>
    <t>Number of care worker type 1</t>
  </si>
  <si>
    <t xml:space="preserve">Number of care worker type 2 </t>
  </si>
  <si>
    <t>Enter '0' if there are no care worker type 2 on the contract, ie if everyone is of the same skill and pay package</t>
  </si>
  <si>
    <t>Total of ALL care workers</t>
  </si>
  <si>
    <t>See NICE guidance NG21, recommendation 1.1.4</t>
  </si>
  <si>
    <t>Number of service users</t>
  </si>
  <si>
    <t>Cost to recruit per CW</t>
  </si>
  <si>
    <t>SU monitoring / year</t>
  </si>
  <si>
    <t>CQC requirement is 4. See NICE guidance NG21, recommendation 1.7</t>
  </si>
  <si>
    <t>CW monitoring / year (all types)</t>
  </si>
  <si>
    <t>Initial visits and reviews</t>
  </si>
  <si>
    <t>Average length of package / number of very short packages which could increase this figure considerably. See NICE guidance NG21, recommendation 1.3.8</t>
  </si>
  <si>
    <t>Average travel distance between service users (miles)</t>
  </si>
  <si>
    <t>Amend where necessary. See NICE guidance NG21, recommendation 1.4</t>
  </si>
  <si>
    <t>CQC regulatory fee</t>
  </si>
  <si>
    <t>£50 per service user per year. See NICE guidance NG21, recommendation 1.6</t>
  </si>
  <si>
    <t>Indirect cost elements - Values and apportionments methods</t>
  </si>
  <si>
    <t xml:space="preserve">                         </t>
  </si>
  <si>
    <t>Table 2a</t>
  </si>
  <si>
    <t>Amount</t>
  </si>
  <si>
    <t>Gross Cost</t>
  </si>
  <si>
    <t>Per hour cost (£)</t>
  </si>
  <si>
    <t xml:space="preserve">                                                              Notes </t>
  </si>
  <si>
    <t>Management (local office management, customer management/service, accounts and payroll costs)</t>
  </si>
  <si>
    <t>Senior Manager (Finance/Operations)</t>
  </si>
  <si>
    <t>Annual Salary</t>
  </si>
  <si>
    <t>Assumed £20,000 portion of salary used on this contract</t>
  </si>
  <si>
    <t>Branch Manager Salary</t>
  </si>
  <si>
    <t>Assumed £28,000 portion of salary used on this contract</t>
  </si>
  <si>
    <t>Care Coordinators / Quality Compliance Salary</t>
  </si>
  <si>
    <t>Assumed £23,000 portion of salary used on this contract. See NICE guidance NG21, recommendation 1.3.6</t>
  </si>
  <si>
    <t>Administrators Salary (e.g. auditing)</t>
  </si>
  <si>
    <t>&lt;other&gt;</t>
  </si>
  <si>
    <t>Total of office costs</t>
  </si>
  <si>
    <t>Table 2b</t>
  </si>
  <si>
    <t>Office cost overheads</t>
  </si>
  <si>
    <t>Premises, utilities and services</t>
  </si>
  <si>
    <t>n/a</t>
  </si>
  <si>
    <t>This includes office costs, IT/Telecoms costs and utilities.  £20,000 up to 200 service users, then increase TBC</t>
  </si>
  <si>
    <t>Consumables and stationary</t>
  </si>
  <si>
    <t>This includes stationary, gloves, and other consumables costs</t>
  </si>
  <si>
    <t>Professional Costs</t>
  </si>
  <si>
    <t>This includes CQC charges, insurance costs, legal fees, marketing costs for recruitment, bank charges and IT system charges including PASS</t>
  </si>
  <si>
    <t>Insurance</t>
  </si>
  <si>
    <t>Marketing/customer experience (eg website)</t>
  </si>
  <si>
    <t>Software Licensing</t>
  </si>
  <si>
    <t>ECMS</t>
  </si>
  <si>
    <t>£1/week per service user</t>
  </si>
  <si>
    <t>&lt;other item&gt;</t>
  </si>
  <si>
    <t>Total indirect cost elements</t>
  </si>
  <si>
    <t>Table 3a</t>
  </si>
  <si>
    <t>Care worker - type 1 - direct costs</t>
  </si>
  <si>
    <t>Default 
value (£)</t>
  </si>
  <si>
    <t>Local 
value (£)</t>
  </si>
  <si>
    <t>Component Pay Elements:</t>
  </si>
  <si>
    <t>Basic hourly wage</t>
  </si>
  <si>
    <t>hourly rate</t>
  </si>
  <si>
    <t>Price per hour.  https://www.livingwage.org.uk/calculation.  https://www.gov.uk/national-minimum-wage-rates</t>
  </si>
  <si>
    <t>Weekend Enhancement</t>
  </si>
  <si>
    <t>% uplift on top of hourly rate</t>
  </si>
  <si>
    <t>Assume providers pay uplifts for bank holidays and weekends</t>
  </si>
  <si>
    <t xml:space="preserve">Bank Holiday Enhancement </t>
  </si>
  <si>
    <t>Assumed 8 bank holiday days / year</t>
  </si>
  <si>
    <t>Average Hourly Pay</t>
  </si>
  <si>
    <t>Assumed 52 weeks in a year</t>
  </si>
  <si>
    <t>Table 3b</t>
  </si>
  <si>
    <t>Other working "non-contact" time</t>
  </si>
  <si>
    <t>Travel time</t>
  </si>
  <si>
    <t>minutes per call</t>
  </si>
  <si>
    <t>Eight minutes used as standard</t>
  </si>
  <si>
    <t>Training supervison/development time</t>
  </si>
  <si>
    <t xml:space="preserve">day per year </t>
  </si>
  <si>
    <t>Default 6 x 7.5 hour days per year.  See NICE guidance NG21, recommendation 1.7</t>
  </si>
  <si>
    <t>Sick pay</t>
  </si>
  <si>
    <t xml:space="preserve">% rate </t>
  </si>
  <si>
    <t>Default 1.5%</t>
  </si>
  <si>
    <t>Notice/suspension pay</t>
  </si>
  <si>
    <t>Default 0.4%</t>
  </si>
  <si>
    <t>Holiday pay</t>
  </si>
  <si>
    <t>Default 12.07% used; accrued during sickness.</t>
  </si>
  <si>
    <t>Additional Pay Per hour of contact time</t>
  </si>
  <si>
    <t>Table 3c</t>
  </si>
  <si>
    <t>NI and pension</t>
  </si>
  <si>
    <t>NI</t>
  </si>
  <si>
    <t>Default 9% used to reflect average staff hours of around 25/week</t>
  </si>
  <si>
    <t>Pension</t>
  </si>
  <si>
    <t>Default 3.00% used</t>
  </si>
  <si>
    <t>Total</t>
  </si>
  <si>
    <t>Table 3d</t>
  </si>
  <si>
    <t>Expenses</t>
  </si>
  <si>
    <t>Mileage</t>
  </si>
  <si>
    <t>Per mile rate</t>
  </si>
  <si>
    <t>£0.3/mile</t>
  </si>
  <si>
    <t>Total of direct cost elements - care worker type 1</t>
  </si>
  <si>
    <t>Table 4a</t>
  </si>
  <si>
    <t>Care worker - type 2 - direct costs</t>
  </si>
  <si>
    <t>Table 4b</t>
  </si>
  <si>
    <t>Table 4c</t>
  </si>
  <si>
    <t>Table 4d</t>
  </si>
  <si>
    <t>Total of direct cost elements - care worker type 2</t>
  </si>
  <si>
    <t>Indirect cost elements - Values applied to care worker type 1</t>
  </si>
  <si>
    <t>Table 5a</t>
  </si>
  <si>
    <t>Indirect cost elements - Staffing, recruitment, training</t>
  </si>
  <si>
    <t>Staff Recruitment</t>
  </si>
  <si>
    <t>Applied per hour of service delivery at annual turnover rate as above</t>
  </si>
  <si>
    <t>Staff Development - Levy</t>
  </si>
  <si>
    <t>Apprenticeship levy (5% of gross payroll)</t>
  </si>
  <si>
    <t>Applied per hour of care worker</t>
  </si>
  <si>
    <t>Staff Development - Additional</t>
  </si>
  <si>
    <t>Other courses not covered by the Levy</t>
  </si>
  <si>
    <t>Table 5b</t>
  </si>
  <si>
    <t>Indirect cost elements - Management (local office management, customer management/service, accounts and payroll costs)</t>
  </si>
  <si>
    <t>The indirect cost elements below are added and calculated based on the apportionments in table 2a and 2b.</t>
  </si>
  <si>
    <t>Senior Manager</t>
  </si>
  <si>
    <t>Apportioned per hour of care worker</t>
  </si>
  <si>
    <t>Branch Manager</t>
  </si>
  <si>
    <t>Inc rostering and quality monitoring</t>
  </si>
  <si>
    <t>Apportioned per hour of care worker. Monitoring (CW) ~60 min/month; (SU) ~75 min/month.</t>
  </si>
  <si>
    <t>Administrators</t>
  </si>
  <si>
    <t>Inc medication auditing time</t>
  </si>
  <si>
    <t>Apportioned per hour of care worker.  Medication auditing ~45min/month per service user</t>
  </si>
  <si>
    <t>Payroll</t>
  </si>
  <si>
    <t>Assumed £1 per week per care worker</t>
  </si>
  <si>
    <t>Regulatory fees</t>
  </si>
  <si>
    <t>Cost per service user / week</t>
  </si>
  <si>
    <t>Quality - Initial setups / reviews</t>
  </si>
  <si>
    <t>Time/Activity (minutes)</t>
  </si>
  <si>
    <t>Applied per service user. Performed by care co-ordinator / Quality compliance post.  Assumed contract is 52 weeks duration</t>
  </si>
  <si>
    <t>Table 5c</t>
  </si>
  <si>
    <t>Indirect cost elements - office cost overheads</t>
  </si>
  <si>
    <t xml:space="preserve">Apportioned per hour of care worker </t>
  </si>
  <si>
    <t>Direct costs</t>
  </si>
  <si>
    <t>Indirect staff costs</t>
  </si>
  <si>
    <t>Indirect office overheads</t>
  </si>
  <si>
    <t>Total of indirect cost elements - care worker type 1</t>
  </si>
  <si>
    <t>Indirect cost elements - Values applied to care worker type 2</t>
  </si>
  <si>
    <t>Table 6a</t>
  </si>
  <si>
    <t>Table 6b</t>
  </si>
  <si>
    <t>Table 6c</t>
  </si>
  <si>
    <t>Total of indirect cost elements - care worker type 2</t>
  </si>
  <si>
    <t>Summary</t>
  </si>
  <si>
    <t>Care worker typer 1</t>
  </si>
  <si>
    <t>Direct staff cost elements</t>
  </si>
  <si>
    <r>
      <t xml:space="preserve">
Note that the totals (hourly rates) calculated are </t>
    </r>
    <r>
      <rPr>
        <b/>
        <sz val="16"/>
        <color theme="1"/>
        <rFont val="Calibri"/>
        <family val="2"/>
        <scheme val="minor"/>
      </rPr>
      <t>indicative only</t>
    </r>
    <r>
      <rPr>
        <sz val="16"/>
        <color theme="1"/>
        <rFont val="Calibri"/>
        <family val="2"/>
        <scheme val="minor"/>
      </rPr>
      <t>.  
Open and honest contracting conversations are recommeded to ensure that indicative values are understood and then adjusted and mutually agreed to ensure values that are commissioned allow for sustainable service provision.</t>
    </r>
  </si>
  <si>
    <t>Overheads (Indirect cost elements)</t>
  </si>
  <si>
    <t>Contribution to provider sustainability</t>
  </si>
  <si>
    <t>Total of cost elements. Indicative value</t>
  </si>
  <si>
    <t>Care worker typer 2</t>
  </si>
  <si>
    <t>Resources to support determination of homecare rates</t>
  </si>
  <si>
    <t>Working with Care Providers to Understand Costs</t>
  </si>
  <si>
    <t>The Chartered Institute of Public Finance &amp; Accountancy</t>
  </si>
  <si>
    <t>Available from</t>
  </si>
  <si>
    <t>https://www.cipfa.org/policy-and-guidance/reports/working-with-care-providers-to-understand-costs</t>
  </si>
  <si>
    <t>Home care: delivering personal care and practical support to older people living in their own homes</t>
  </si>
  <si>
    <t>National Institute of Health and Care Excellence</t>
  </si>
  <si>
    <t>https://www.nice.org.uk/guidance/ng21</t>
  </si>
  <si>
    <t>Adult Social Care Activity and Finance Report, England - 2017-18</t>
  </si>
  <si>
    <t>NHS Digital</t>
  </si>
  <si>
    <t>https://digital.nhs.uk/data-and-information/publications/statistical/adult-social-care-activity-and-finance-report/2017-18</t>
  </si>
  <si>
    <t>Improved Better Care Fund: provider fee reporting, quarter 2, 2018-19</t>
  </si>
  <si>
    <t>GOV.UK</t>
  </si>
  <si>
    <t>https://www.gov.uk/government/publications/improved-better-care-fund-provider-fee-reporting-quarter-2-2018-19</t>
  </si>
  <si>
    <t>Version control</t>
  </si>
  <si>
    <t>Version</t>
  </si>
  <si>
    <t>Update reason</t>
  </si>
  <si>
    <t>v2</t>
  </si>
  <si>
    <t>-Updated February 2020.
-Check message included to ensure accuracy of inputted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</si>
</sst>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quot;£&quot;#,##0.00"/>
    <numFmt numFmtId="165" formatCode="&quot;£&quot;#,##0"/>
    <numFmt numFmtId="166" formatCode="_-* #,##0_-;\-* #,##0_-;_-* &quot;-&quot;??_-;_-@_-"/>
    <numFmt numFmtId="167" formatCode="_(* #,##0.00_);_(* \(#,##0.00\);_(* &quot;-&quot;??_);_(@_)"/>
    <numFmt numFmtId="168" formatCode="0.0%"/>
    <numFmt numFmtId="169" formatCode="0.0"/>
  </numFmts>
  <fonts count="49">
    <font>
      <sz val="11"/>
      <color theme="1"/>
      <name val="Calibri"/>
      <family val="2"/>
      <scheme val="minor"/>
    </font>
    <font>
      <sz val="11"/>
      <color indexed="8"/>
      <name val="Calibri"/>
      <family val="2"/>
    </font>
    <font>
      <sz val="10"/>
      <name val="Arial"/>
      <family val="2"/>
    </font>
    <font>
      <u/>
      <sz val="10"/>
      <color indexed="12"/>
      <name val="Arial"/>
      <family val="2"/>
    </font>
    <font>
      <b/>
      <sz val="12"/>
      <name val="Arial"/>
      <family val="2"/>
    </font>
    <font>
      <b/>
      <sz val="10"/>
      <name val="Arial"/>
      <family val="2"/>
    </font>
    <font>
      <sz val="12"/>
      <name val="Arial"/>
      <family val="2"/>
    </font>
    <font>
      <sz val="11"/>
      <name val="Arial"/>
      <family val="2"/>
    </font>
    <font>
      <b/>
      <sz val="11"/>
      <color indexed="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indexed="8"/>
      <name val="Arial"/>
      <family val="2"/>
    </font>
    <font>
      <sz val="11"/>
      <color theme="1"/>
      <name val="Calibri"/>
      <family val="2"/>
      <scheme val="minor"/>
    </font>
    <font>
      <u/>
      <sz val="11"/>
      <color theme="10"/>
      <name val="Calibri"/>
      <family val="2"/>
    </font>
    <font>
      <u/>
      <sz val="11"/>
      <color theme="10"/>
      <name val="Arial"/>
      <family val="2"/>
    </font>
    <font>
      <sz val="11"/>
      <color theme="1"/>
      <name val="Arial"/>
      <family val="2"/>
    </font>
    <font>
      <sz val="12"/>
      <color theme="1"/>
      <name val="Calibri"/>
      <family val="2"/>
      <scheme val="minor"/>
    </font>
    <font>
      <i/>
      <u/>
      <sz val="11"/>
      <color theme="10"/>
      <name val="Arial"/>
      <family val="2"/>
    </font>
    <font>
      <sz val="10"/>
      <name val="MS Sans Serif"/>
      <family val="2"/>
    </font>
    <font>
      <u/>
      <sz val="10"/>
      <color indexed="12"/>
      <name val="MS Sans Serif"/>
      <family val="2"/>
    </font>
    <font>
      <sz val="11"/>
      <color rgb="FF000000"/>
      <name val="Calibri"/>
      <family val="2"/>
    </font>
    <font>
      <sz val="11"/>
      <color rgb="FFFF0000"/>
      <name val="Arial"/>
      <family val="2"/>
    </font>
    <font>
      <sz val="11"/>
      <color theme="0"/>
      <name val="Calibri"/>
      <family val="2"/>
      <scheme val="minor"/>
    </font>
    <font>
      <b/>
      <sz val="16"/>
      <color theme="0"/>
      <name val="Arial"/>
      <family val="2"/>
    </font>
    <font>
      <b/>
      <sz val="11"/>
      <color theme="1"/>
      <name val="Calibri"/>
      <family val="2"/>
      <scheme val="minor"/>
    </font>
    <font>
      <sz val="11"/>
      <color rgb="FFFF0000"/>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sz val="28"/>
      <color theme="0"/>
      <name val="Calibri"/>
      <family val="2"/>
      <scheme val="minor"/>
    </font>
    <font>
      <sz val="22"/>
      <color theme="1"/>
      <name val="Calibri"/>
      <family val="2"/>
      <scheme val="minor"/>
    </font>
    <font>
      <sz val="14"/>
      <color theme="1"/>
      <name val="Calibri"/>
      <family val="2"/>
      <scheme val="minor"/>
    </font>
    <font>
      <u/>
      <sz val="11"/>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3399"/>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medium">
        <color indexed="30"/>
      </bottom>
      <diagonal/>
    </border>
    <border>
      <left style="thin">
        <color theme="0" tint="-0.24994659260841701"/>
      </left>
      <right/>
      <top/>
      <bottom/>
      <diagonal/>
    </border>
  </borders>
  <cellStyleXfs count="109">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0" borderId="0"/>
    <xf numFmtId="0" fontId="11" fillId="3"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21" borderId="2"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8"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9" fillId="7" borderId="1" applyNumberFormat="0" applyAlignment="0" applyProtection="0"/>
    <xf numFmtId="0" fontId="19" fillId="7"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2" fillId="0" borderId="0"/>
    <xf numFmtId="0" fontId="2" fillId="0" borderId="0"/>
    <xf numFmtId="0" fontId="2" fillId="0" borderId="0"/>
    <xf numFmtId="0" fontId="2" fillId="0" borderId="0"/>
    <xf numFmtId="0" fontId="26" fillId="0" borderId="0"/>
    <xf numFmtId="0" fontId="1" fillId="23" borderId="7" applyNumberFormat="0" applyFont="0" applyAlignment="0" applyProtection="0"/>
    <xf numFmtId="0" fontId="1"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0" borderId="0"/>
    <xf numFmtId="0" fontId="35" fillId="0" borderId="0" applyNumberFormat="0" applyFill="0" applyBorder="0" applyAlignment="0" applyProtection="0"/>
    <xf numFmtId="0" fontId="29" fillId="0" borderId="0" applyNumberFormat="0" applyFill="0" applyBorder="0" applyAlignment="0" applyProtection="0">
      <alignment vertical="top"/>
      <protection locked="0"/>
    </xf>
    <xf numFmtId="0" fontId="6" fillId="0" borderId="0"/>
    <xf numFmtId="0" fontId="34" fillId="0" borderId="0"/>
    <xf numFmtId="0" fontId="36" fillId="0" borderId="0"/>
    <xf numFmtId="0" fontId="18" fillId="0" borderId="25" applyNumberFormat="0" applyFill="0" applyAlignment="0" applyProtection="0"/>
    <xf numFmtId="0" fontId="18" fillId="0" borderId="25" applyNumberFormat="0" applyFill="0" applyAlignment="0" applyProtection="0"/>
    <xf numFmtId="44" fontId="28" fillId="0" borderId="0" applyFont="0" applyFill="0" applyBorder="0" applyAlignment="0" applyProtection="0"/>
  </cellStyleXfs>
  <cellXfs count="232">
    <xf numFmtId="0" fontId="0" fillId="0" borderId="0" xfId="0"/>
    <xf numFmtId="0" fontId="30" fillId="0" borderId="0" xfId="72" applyFont="1" applyAlignment="1" applyProtection="1">
      <alignment horizontal="left" vertical="top"/>
    </xf>
    <xf numFmtId="0" fontId="6" fillId="0" borderId="0" xfId="0" applyFont="1"/>
    <xf numFmtId="0" fontId="6" fillId="24" borderId="0" xfId="0" applyFont="1" applyFill="1"/>
    <xf numFmtId="0" fontId="31" fillId="24" borderId="0" xfId="0" applyFont="1" applyFill="1"/>
    <xf numFmtId="0" fontId="33" fillId="24" borderId="0" xfId="72" applyFont="1" applyFill="1" applyAlignment="1" applyProtection="1"/>
    <xf numFmtId="0" fontId="31" fillId="0" borderId="0" xfId="0" applyFont="1"/>
    <xf numFmtId="0" fontId="2" fillId="24" borderId="0" xfId="82" applyFill="1"/>
    <xf numFmtId="0" fontId="7" fillId="24" borderId="0" xfId="82" applyFont="1" applyFill="1"/>
    <xf numFmtId="0" fontId="7" fillId="0" borderId="0" xfId="82" applyFont="1"/>
    <xf numFmtId="0" fontId="31" fillId="25" borderId="0" xfId="0" applyFont="1" applyFill="1" applyAlignment="1">
      <alignment wrapText="1"/>
    </xf>
    <xf numFmtId="0" fontId="31" fillId="26" borderId="11" xfId="0" applyFont="1" applyFill="1" applyBorder="1" applyAlignment="1">
      <alignment horizontal="left" vertical="center" wrapText="1"/>
    </xf>
    <xf numFmtId="0" fontId="39" fillId="28" borderId="11" xfId="0" applyFont="1" applyFill="1" applyBorder="1" applyAlignment="1">
      <alignment horizontal="center" vertical="center"/>
    </xf>
    <xf numFmtId="0" fontId="31" fillId="24" borderId="0" xfId="0" applyFont="1" applyFill="1" applyAlignment="1">
      <alignment vertical="center"/>
    </xf>
    <xf numFmtId="0" fontId="31" fillId="0" borderId="0" xfId="0" applyFont="1" applyAlignment="1">
      <alignment vertical="center"/>
    </xf>
    <xf numFmtId="0" fontId="0" fillId="0" borderId="11" xfId="0" applyBorder="1" applyAlignment="1">
      <alignment vertical="center" wrapText="1"/>
    </xf>
    <xf numFmtId="0" fontId="0" fillId="0" borderId="0" xfId="0" applyAlignment="1">
      <alignment vertical="center"/>
    </xf>
    <xf numFmtId="0" fontId="0" fillId="0" borderId="0" xfId="0" applyAlignment="1">
      <alignment vertical="top" wrapText="1"/>
    </xf>
    <xf numFmtId="0" fontId="40" fillId="0" borderId="0" xfId="0" applyFont="1" applyAlignment="1">
      <alignment vertical="center"/>
    </xf>
    <xf numFmtId="164" fontId="0" fillId="0" borderId="0" xfId="0" applyNumberFormat="1" applyAlignment="1">
      <alignment vertical="center"/>
    </xf>
    <xf numFmtId="0" fontId="40" fillId="0" borderId="0" xfId="0" applyFont="1"/>
    <xf numFmtId="0" fontId="0" fillId="0" borderId="11" xfId="0" applyBorder="1" applyAlignment="1">
      <alignment vertical="center"/>
    </xf>
    <xf numFmtId="164" fontId="40" fillId="0" borderId="11" xfId="0" applyNumberFormat="1" applyFont="1" applyBorder="1" applyAlignment="1">
      <alignment vertical="center"/>
    </xf>
    <xf numFmtId="0" fontId="0" fillId="29" borderId="11" xfId="0" applyFill="1" applyBorder="1" applyAlignment="1">
      <alignment vertical="center"/>
    </xf>
    <xf numFmtId="164" fontId="0" fillId="29" borderId="11" xfId="0" applyNumberFormat="1" applyFill="1" applyBorder="1" applyAlignment="1">
      <alignment vertical="center"/>
    </xf>
    <xf numFmtId="0" fontId="0" fillId="29" borderId="11" xfId="0" applyFill="1" applyBorder="1" applyAlignment="1">
      <alignment vertical="top" wrapText="1"/>
    </xf>
    <xf numFmtId="164" fontId="40" fillId="0" borderId="0" xfId="0" applyNumberFormat="1" applyFont="1" applyAlignment="1">
      <alignment vertical="center"/>
    </xf>
    <xf numFmtId="164" fontId="0" fillId="0" borderId="11" xfId="0" applyNumberFormat="1" applyBorder="1" applyAlignment="1">
      <alignment vertical="center"/>
    </xf>
    <xf numFmtId="164" fontId="0" fillId="25" borderId="11" xfId="0" applyNumberFormat="1" applyFill="1" applyBorder="1" applyAlignment="1">
      <alignment vertical="center"/>
    </xf>
    <xf numFmtId="0" fontId="0" fillId="25" borderId="11" xfId="0" applyFill="1" applyBorder="1" applyAlignment="1">
      <alignment vertical="center"/>
    </xf>
    <xf numFmtId="10" fontId="0" fillId="29" borderId="11" xfId="0" applyNumberFormat="1" applyFill="1" applyBorder="1" applyAlignment="1">
      <alignment vertical="center"/>
    </xf>
    <xf numFmtId="164" fontId="0" fillId="0" borderId="11" xfId="91" applyNumberFormat="1" applyFont="1" applyBorder="1" applyAlignment="1">
      <alignment vertical="center"/>
    </xf>
    <xf numFmtId="0" fontId="40" fillId="0" borderId="12" xfId="0" applyFont="1" applyBorder="1" applyAlignment="1">
      <alignment vertical="center"/>
    </xf>
    <xf numFmtId="0" fontId="0" fillId="0" borderId="17" xfId="0" applyBorder="1" applyAlignment="1">
      <alignment vertical="top" wrapText="1"/>
    </xf>
    <xf numFmtId="0" fontId="40" fillId="0" borderId="20" xfId="0" applyFont="1" applyBorder="1" applyAlignment="1">
      <alignment vertical="center"/>
    </xf>
    <xf numFmtId="164" fontId="0" fillId="0" borderId="20" xfId="0" applyNumberFormat="1" applyBorder="1" applyAlignment="1">
      <alignment vertical="center"/>
    </xf>
    <xf numFmtId="0" fontId="0" fillId="0" borderId="17" xfId="0" quotePrefix="1" applyBorder="1" applyAlignment="1">
      <alignment horizontal="right" vertical="center"/>
    </xf>
    <xf numFmtId="0" fontId="0" fillId="0" borderId="20" xfId="0" quotePrefix="1" applyBorder="1" applyAlignment="1">
      <alignment vertical="center"/>
    </xf>
    <xf numFmtId="0" fontId="40" fillId="0" borderId="17" xfId="0" applyFont="1" applyBorder="1" applyAlignment="1">
      <alignment vertical="center"/>
    </xf>
    <xf numFmtId="0" fontId="42" fillId="28" borderId="0" xfId="0" applyFont="1" applyFill="1" applyAlignment="1">
      <alignment vertical="center"/>
    </xf>
    <xf numFmtId="0" fontId="42" fillId="28" borderId="10" xfId="0" applyFont="1" applyFill="1" applyBorder="1" applyAlignment="1">
      <alignment vertical="center"/>
    </xf>
    <xf numFmtId="165" fontId="0" fillId="29" borderId="11" xfId="0" applyNumberFormat="1" applyFill="1" applyBorder="1" applyAlignment="1">
      <alignment vertical="center"/>
    </xf>
    <xf numFmtId="166" fontId="28" fillId="29" borderId="11" xfId="56" applyNumberFormat="1" applyFill="1" applyBorder="1" applyAlignment="1">
      <alignment vertical="center"/>
    </xf>
    <xf numFmtId="164" fontId="40" fillId="0" borderId="17" xfId="0" applyNumberFormat="1" applyFont="1" applyBorder="1" applyAlignment="1">
      <alignment vertical="center"/>
    </xf>
    <xf numFmtId="0" fontId="40" fillId="24" borderId="11" xfId="0" applyFont="1" applyFill="1" applyBorder="1" applyAlignment="1">
      <alignment horizontal="center" vertical="center"/>
    </xf>
    <xf numFmtId="0" fontId="40" fillId="24" borderId="12" xfId="0" applyFont="1" applyFill="1" applyBorder="1" applyAlignment="1">
      <alignment horizontal="left" vertical="center"/>
    </xf>
    <xf numFmtId="0" fontId="40" fillId="24" borderId="12" xfId="0" applyFont="1" applyFill="1" applyBorder="1" applyAlignment="1">
      <alignment vertical="center"/>
    </xf>
    <xf numFmtId="0" fontId="40" fillId="24" borderId="20" xfId="0" applyFont="1" applyFill="1" applyBorder="1" applyAlignment="1">
      <alignment vertical="center"/>
    </xf>
    <xf numFmtId="164" fontId="0" fillId="24" borderId="20" xfId="0" applyNumberFormat="1" applyFill="1" applyBorder="1" applyAlignment="1">
      <alignment vertical="center"/>
    </xf>
    <xf numFmtId="0" fontId="40" fillId="24" borderId="20" xfId="0" applyFont="1" applyFill="1" applyBorder="1" applyAlignment="1">
      <alignment horizontal="center" vertical="center"/>
    </xf>
    <xf numFmtId="0" fontId="40" fillId="24" borderId="20" xfId="0" applyFont="1" applyFill="1" applyBorder="1" applyAlignment="1">
      <alignment horizontal="center" vertical="center" wrapText="1"/>
    </xf>
    <xf numFmtId="0" fontId="0" fillId="0" borderId="12" xfId="0" applyBorder="1" applyAlignment="1">
      <alignment horizontal="left" vertical="center"/>
    </xf>
    <xf numFmtId="0" fontId="0" fillId="0" borderId="20" xfId="0" applyBorder="1" applyAlignment="1">
      <alignment horizontal="left" vertical="center"/>
    </xf>
    <xf numFmtId="0" fontId="0" fillId="0" borderId="17" xfId="0" applyBorder="1" applyAlignment="1">
      <alignment horizontal="left" vertical="center"/>
    </xf>
    <xf numFmtId="0" fontId="7" fillId="0" borderId="0" xfId="82" applyFont="1" applyAlignment="1">
      <alignment horizontal="center" vertical="center" textRotation="90"/>
    </xf>
    <xf numFmtId="168" fontId="38" fillId="0" borderId="0" xfId="0" applyNumberFormat="1" applyFont="1" applyAlignment="1">
      <alignment vertical="center"/>
    </xf>
    <xf numFmtId="0" fontId="38" fillId="0" borderId="0" xfId="0" applyFont="1" applyAlignment="1">
      <alignment vertical="top" wrapText="1"/>
    </xf>
    <xf numFmtId="164" fontId="40" fillId="0" borderId="20" xfId="0" applyNumberFormat="1" applyFont="1" applyBorder="1" applyAlignment="1">
      <alignment vertical="center"/>
    </xf>
    <xf numFmtId="0" fontId="7" fillId="0" borderId="26" xfId="82" applyFont="1" applyBorder="1"/>
    <xf numFmtId="0" fontId="42" fillId="28" borderId="14" xfId="0" applyFont="1" applyFill="1" applyBorder="1" applyAlignment="1">
      <alignment vertical="center"/>
    </xf>
    <xf numFmtId="0" fontId="0" fillId="0" borderId="17" xfId="0" applyBorder="1"/>
    <xf numFmtId="0" fontId="0" fillId="29" borderId="12" xfId="0" applyFill="1" applyBorder="1" applyAlignment="1">
      <alignment horizontal="left" vertical="center"/>
    </xf>
    <xf numFmtId="0" fontId="40" fillId="24" borderId="12" xfId="0" applyFont="1" applyFill="1" applyBorder="1" applyAlignment="1">
      <alignment horizontal="center" vertical="center"/>
    </xf>
    <xf numFmtId="0" fontId="41" fillId="0" borderId="0" xfId="0" applyFont="1"/>
    <xf numFmtId="0" fontId="0" fillId="0" borderId="20" xfId="0" quotePrefix="1" applyBorder="1" applyAlignment="1">
      <alignment horizontal="right" vertical="center"/>
    </xf>
    <xf numFmtId="0" fontId="7" fillId="0" borderId="20" xfId="82" applyFont="1" applyBorder="1" applyAlignment="1">
      <alignment horizontal="center" vertical="center" textRotation="90"/>
    </xf>
    <xf numFmtId="164" fontId="40" fillId="0" borderId="11" xfId="91" applyNumberFormat="1" applyFont="1" applyBorder="1" applyAlignment="1">
      <alignment vertical="center"/>
    </xf>
    <xf numFmtId="10" fontId="0" fillId="0" borderId="23" xfId="0" applyNumberFormat="1" applyBorder="1" applyAlignment="1">
      <alignment horizontal="left" vertical="center"/>
    </xf>
    <xf numFmtId="0" fontId="0" fillId="0" borderId="23" xfId="0" applyBorder="1" applyAlignment="1">
      <alignment vertical="center"/>
    </xf>
    <xf numFmtId="0" fontId="0" fillId="29" borderId="12" xfId="0" applyFill="1" applyBorder="1" applyAlignment="1">
      <alignment horizontal="right" vertical="center"/>
    </xf>
    <xf numFmtId="0" fontId="7" fillId="0" borderId="23" xfId="82" applyFont="1" applyBorder="1" applyAlignment="1">
      <alignment horizontal="center" vertical="center" textRotation="90"/>
    </xf>
    <xf numFmtId="44" fontId="40" fillId="24" borderId="11" xfId="108" applyFont="1" applyFill="1" applyBorder="1" applyAlignment="1">
      <alignment horizontal="center" vertical="center" wrapText="1"/>
    </xf>
    <xf numFmtId="44" fontId="0" fillId="24" borderId="20" xfId="108" applyFont="1" applyFill="1" applyBorder="1" applyAlignment="1">
      <alignment vertical="center"/>
    </xf>
    <xf numFmtId="0" fontId="40" fillId="24" borderId="20" xfId="0" applyFont="1" applyFill="1" applyBorder="1" applyAlignment="1">
      <alignment horizontal="center" vertical="top" wrapText="1"/>
    </xf>
    <xf numFmtId="0" fontId="40" fillId="24" borderId="12" xfId="0" applyFont="1" applyFill="1" applyBorder="1" applyAlignment="1">
      <alignment horizontal="center" vertical="top" wrapText="1"/>
    </xf>
    <xf numFmtId="9" fontId="0" fillId="29" borderId="11" xfId="91" applyFont="1" applyFill="1" applyBorder="1" applyAlignment="1">
      <alignment vertical="center"/>
    </xf>
    <xf numFmtId="0" fontId="40" fillId="24" borderId="12" xfId="0" applyFont="1" applyFill="1" applyBorder="1" applyAlignment="1">
      <alignment vertical="top" wrapText="1"/>
    </xf>
    <xf numFmtId="0" fontId="40" fillId="24" borderId="20" xfId="0" applyFont="1" applyFill="1" applyBorder="1" applyAlignment="1">
      <alignment vertical="top" wrapText="1"/>
    </xf>
    <xf numFmtId="0" fontId="40" fillId="24" borderId="17" xfId="0" applyFont="1" applyFill="1" applyBorder="1" applyAlignment="1">
      <alignment vertical="top" wrapText="1"/>
    </xf>
    <xf numFmtId="0" fontId="0" fillId="24" borderId="17" xfId="0" applyFill="1" applyBorder="1"/>
    <xf numFmtId="0" fontId="0" fillId="29" borderId="17" xfId="0" applyFill="1" applyBorder="1"/>
    <xf numFmtId="0" fontId="0" fillId="0" borderId="12" xfId="0" applyBorder="1" applyAlignment="1">
      <alignment vertical="top" wrapText="1"/>
    </xf>
    <xf numFmtId="0" fontId="0" fillId="29" borderId="12" xfId="0" applyFill="1" applyBorder="1" applyAlignment="1">
      <alignment vertical="top" wrapText="1"/>
    </xf>
    <xf numFmtId="0" fontId="0" fillId="24" borderId="20" xfId="0" applyFill="1" applyBorder="1" applyAlignment="1">
      <alignment vertical="top" wrapText="1"/>
    </xf>
    <xf numFmtId="10" fontId="0" fillId="0" borderId="12" xfId="0" applyNumberFormat="1" applyBorder="1" applyAlignment="1">
      <alignment horizontal="left" vertical="center"/>
    </xf>
    <xf numFmtId="44" fontId="0" fillId="0" borderId="12" xfId="108" applyFont="1" applyBorder="1" applyAlignment="1">
      <alignment horizontal="left" vertical="center"/>
    </xf>
    <xf numFmtId="0" fontId="0" fillId="0" borderId="20" xfId="0" applyBorder="1" applyAlignment="1">
      <alignment vertical="center"/>
    </xf>
    <xf numFmtId="165" fontId="0" fillId="0" borderId="0" xfId="0" applyNumberFormat="1" applyAlignment="1">
      <alignment vertical="center"/>
    </xf>
    <xf numFmtId="0" fontId="0" fillId="0" borderId="12" xfId="0" applyBorder="1"/>
    <xf numFmtId="0" fontId="0" fillId="0" borderId="13" xfId="0" applyBorder="1"/>
    <xf numFmtId="0" fontId="0" fillId="0" borderId="23" xfId="0" applyBorder="1" applyAlignment="1">
      <alignment horizontal="left" vertical="center"/>
    </xf>
    <xf numFmtId="10" fontId="0" fillId="0" borderId="23" xfId="0" applyNumberFormat="1" applyBorder="1" applyAlignment="1">
      <alignment horizontal="center" vertical="center" wrapText="1"/>
    </xf>
    <xf numFmtId="0" fontId="0" fillId="29" borderId="17" xfId="0" applyFill="1" applyBorder="1" applyAlignment="1">
      <alignment vertical="top" wrapText="1"/>
    </xf>
    <xf numFmtId="0" fontId="7" fillId="0" borderId="23" xfId="82" applyFont="1" applyBorder="1"/>
    <xf numFmtId="0" fontId="0" fillId="0" borderId="12" xfId="0" applyBorder="1" applyAlignment="1">
      <alignment vertical="center"/>
    </xf>
    <xf numFmtId="0" fontId="0" fillId="24" borderId="12" xfId="0" applyFill="1" applyBorder="1"/>
    <xf numFmtId="164" fontId="40" fillId="24" borderId="20" xfId="0" applyNumberFormat="1" applyFont="1" applyFill="1" applyBorder="1" applyAlignment="1">
      <alignment vertical="center"/>
    </xf>
    <xf numFmtId="0" fontId="0" fillId="29" borderId="11" xfId="0" applyFill="1" applyBorder="1" applyAlignment="1">
      <alignment horizontal="left" vertical="center"/>
    </xf>
    <xf numFmtId="0" fontId="0" fillId="29" borderId="12" xfId="0" applyFill="1" applyBorder="1" applyAlignment="1">
      <alignment vertical="center"/>
    </xf>
    <xf numFmtId="0" fontId="0" fillId="29" borderId="20" xfId="0" applyFill="1" applyBorder="1" applyAlignment="1">
      <alignment horizontal="right" vertical="center"/>
    </xf>
    <xf numFmtId="0" fontId="0" fillId="29" borderId="20" xfId="0" applyFill="1" applyBorder="1" applyAlignment="1">
      <alignment vertical="center"/>
    </xf>
    <xf numFmtId="0" fontId="0" fillId="0" borderId="17" xfId="0" applyBorder="1" applyAlignment="1">
      <alignment horizontal="right" vertical="center"/>
    </xf>
    <xf numFmtId="165" fontId="0" fillId="29" borderId="17" xfId="0" applyNumberFormat="1" applyFill="1" applyBorder="1" applyAlignment="1">
      <alignment vertical="center"/>
    </xf>
    <xf numFmtId="0" fontId="0" fillId="29" borderId="17" xfId="0" applyFill="1" applyBorder="1" applyAlignment="1">
      <alignment horizontal="right" vertical="center"/>
    </xf>
    <xf numFmtId="164" fontId="0" fillId="29" borderId="11" xfId="0" applyNumberFormat="1" applyFill="1" applyBorder="1" applyAlignment="1">
      <alignment horizontal="left" vertical="center"/>
    </xf>
    <xf numFmtId="0" fontId="0" fillId="0" borderId="0" xfId="0" applyAlignment="1">
      <alignment vertical="top"/>
    </xf>
    <xf numFmtId="0" fontId="2" fillId="24" borderId="17" xfId="82" applyFill="1" applyBorder="1"/>
    <xf numFmtId="168" fontId="0" fillId="24" borderId="20" xfId="0" applyNumberFormat="1" applyFill="1" applyBorder="1" applyAlignment="1">
      <alignment vertical="center"/>
    </xf>
    <xf numFmtId="0" fontId="0" fillId="24" borderId="23" xfId="0" applyFill="1" applyBorder="1" applyAlignment="1">
      <alignment vertical="top"/>
    </xf>
    <xf numFmtId="0" fontId="0" fillId="0" borderId="12" xfId="0" applyBorder="1" applyAlignment="1">
      <alignment vertical="top"/>
    </xf>
    <xf numFmtId="0" fontId="37" fillId="24" borderId="0" xfId="82" applyFont="1" applyFill="1"/>
    <xf numFmtId="0" fontId="37" fillId="0" borderId="26" xfId="82" applyFont="1" applyBorder="1"/>
    <xf numFmtId="0" fontId="37" fillId="0" borderId="0" xfId="82" applyFont="1"/>
    <xf numFmtId="168" fontId="41" fillId="0" borderId="0" xfId="0" applyNumberFormat="1" applyFont="1" applyAlignment="1">
      <alignment vertical="center"/>
    </xf>
    <xf numFmtId="0" fontId="41" fillId="0" borderId="0" xfId="0" applyFont="1" applyAlignment="1">
      <alignment vertical="top" wrapText="1"/>
    </xf>
    <xf numFmtId="0" fontId="0" fillId="0" borderId="11" xfId="0" applyBorder="1" applyAlignment="1">
      <alignment vertical="top" wrapText="1"/>
    </xf>
    <xf numFmtId="0" fontId="0" fillId="29" borderId="12" xfId="0" applyFill="1" applyBorder="1"/>
    <xf numFmtId="0" fontId="40" fillId="30" borderId="12" xfId="0" applyFont="1" applyFill="1" applyBorder="1" applyAlignment="1">
      <alignment vertical="center"/>
    </xf>
    <xf numFmtId="165" fontId="0" fillId="30" borderId="20" xfId="0" applyNumberFormat="1" applyFill="1" applyBorder="1" applyAlignment="1">
      <alignment vertical="center"/>
    </xf>
    <xf numFmtId="0" fontId="0" fillId="30" borderId="17" xfId="0" applyFill="1" applyBorder="1" applyAlignment="1">
      <alignment vertical="center"/>
    </xf>
    <xf numFmtId="165" fontId="40" fillId="30" borderId="11" xfId="0" applyNumberFormat="1" applyFont="1" applyFill="1" applyBorder="1" applyAlignment="1">
      <alignment vertical="center"/>
    </xf>
    <xf numFmtId="0" fontId="40" fillId="30" borderId="20" xfId="0" applyFont="1" applyFill="1" applyBorder="1" applyAlignment="1">
      <alignment vertical="center"/>
    </xf>
    <xf numFmtId="0" fontId="40" fillId="30" borderId="17" xfId="0" applyFont="1" applyFill="1" applyBorder="1" applyAlignment="1">
      <alignment vertical="center"/>
    </xf>
    <xf numFmtId="164" fontId="40" fillId="30" borderId="11" xfId="0" applyNumberFormat="1" applyFont="1" applyFill="1" applyBorder="1" applyAlignment="1">
      <alignment vertical="center"/>
    </xf>
    <xf numFmtId="0" fontId="40" fillId="30" borderId="12" xfId="0" applyFont="1" applyFill="1" applyBorder="1"/>
    <xf numFmtId="168" fontId="41" fillId="30" borderId="20" xfId="0" applyNumberFormat="1" applyFont="1" applyFill="1" applyBorder="1" applyAlignment="1">
      <alignment vertical="center"/>
    </xf>
    <xf numFmtId="0" fontId="41" fillId="30" borderId="20" xfId="0" applyFont="1" applyFill="1" applyBorder="1" applyAlignment="1">
      <alignment vertical="top" wrapText="1"/>
    </xf>
    <xf numFmtId="169" fontId="0" fillId="29" borderId="11" xfId="0" applyNumberFormat="1" applyFill="1" applyBorder="1" applyAlignment="1">
      <alignment vertical="center"/>
    </xf>
    <xf numFmtId="0" fontId="7" fillId="25" borderId="11" xfId="83" applyFont="1" applyFill="1" applyBorder="1" applyAlignment="1">
      <alignment horizontal="left" vertical="center" wrapText="1"/>
    </xf>
    <xf numFmtId="0" fontId="0" fillId="0" borderId="22" xfId="0" applyBorder="1"/>
    <xf numFmtId="164" fontId="0" fillId="0" borderId="0" xfId="0" applyNumberFormat="1"/>
    <xf numFmtId="164" fontId="0" fillId="0" borderId="0" xfId="0" applyNumberFormat="1" applyAlignment="1">
      <alignment vertical="top" wrapText="1"/>
    </xf>
    <xf numFmtId="0" fontId="40" fillId="24" borderId="11" xfId="0" applyFont="1" applyFill="1" applyBorder="1" applyAlignment="1">
      <alignment horizontal="center"/>
    </xf>
    <xf numFmtId="0" fontId="40" fillId="24" borderId="11" xfId="0" applyFont="1" applyFill="1" applyBorder="1" applyAlignment="1">
      <alignment horizontal="center" wrapText="1"/>
    </xf>
    <xf numFmtId="0" fontId="40" fillId="24" borderId="19" xfId="0" applyFont="1" applyFill="1" applyBorder="1" applyAlignment="1">
      <alignment horizontal="center" wrapText="1"/>
    </xf>
    <xf numFmtId="0" fontId="5" fillId="24" borderId="17" xfId="82" applyFont="1" applyFill="1" applyBorder="1"/>
    <xf numFmtId="0" fontId="43" fillId="0" borderId="0" xfId="0" applyFont="1" applyAlignment="1">
      <alignment horizontal="center" vertical="top" wrapText="1"/>
    </xf>
    <xf numFmtId="165" fontId="0" fillId="29" borderId="11" xfId="0" applyNumberFormat="1" applyFill="1" applyBorder="1" applyAlignment="1">
      <alignment horizontal="right" vertical="center"/>
    </xf>
    <xf numFmtId="165" fontId="40" fillId="0" borderId="11" xfId="0" applyNumberFormat="1" applyFont="1" applyBorder="1" applyAlignment="1">
      <alignment vertical="center"/>
    </xf>
    <xf numFmtId="164" fontId="40" fillId="29" borderId="11" xfId="0" applyNumberFormat="1" applyFont="1" applyFill="1" applyBorder="1" applyAlignment="1">
      <alignment vertical="center"/>
    </xf>
    <xf numFmtId="0" fontId="0" fillId="29" borderId="20" xfId="0" applyFill="1" applyBorder="1" applyAlignment="1">
      <alignment horizontal="left" vertical="center"/>
    </xf>
    <xf numFmtId="164" fontId="0" fillId="0" borderId="11" xfId="91" applyNumberFormat="1" applyFont="1" applyFill="1" applyBorder="1" applyAlignment="1">
      <alignment vertical="center"/>
    </xf>
    <xf numFmtId="165" fontId="0" fillId="29" borderId="20" xfId="0" applyNumberFormat="1" applyFill="1" applyBorder="1" applyAlignment="1">
      <alignment vertical="center"/>
    </xf>
    <xf numFmtId="0" fontId="0" fillId="30" borderId="12" xfId="0" applyFill="1" applyBorder="1"/>
    <xf numFmtId="164" fontId="0" fillId="30" borderId="11" xfId="0" applyNumberFormat="1" applyFill="1" applyBorder="1" applyAlignment="1">
      <alignment vertical="center"/>
    </xf>
    <xf numFmtId="9" fontId="28" fillId="27" borderId="11" xfId="91" applyFont="1" applyFill="1" applyBorder="1" applyAlignment="1">
      <alignment vertical="top" wrapText="1"/>
    </xf>
    <xf numFmtId="168" fontId="40" fillId="30" borderId="11" xfId="0" applyNumberFormat="1" applyFont="1" applyFill="1" applyBorder="1" applyAlignment="1">
      <alignment vertical="center"/>
    </xf>
    <xf numFmtId="0" fontId="31" fillId="25" borderId="11" xfId="0" applyFont="1" applyFill="1" applyBorder="1" applyAlignment="1">
      <alignment horizontal="left" vertical="center" wrapText="1"/>
    </xf>
    <xf numFmtId="0" fontId="0" fillId="0" borderId="23" xfId="0" applyBorder="1"/>
    <xf numFmtId="0" fontId="0" fillId="0" borderId="21" xfId="0" applyBorder="1"/>
    <xf numFmtId="0" fontId="0" fillId="0" borderId="14" xfId="0" applyBorder="1"/>
    <xf numFmtId="0" fontId="0" fillId="0" borderId="18" xfId="0" applyBorder="1"/>
    <xf numFmtId="0" fontId="0" fillId="0" borderId="24" xfId="0" applyBorder="1"/>
    <xf numFmtId="0" fontId="0" fillId="0" borderId="10" xfId="0" applyBorder="1"/>
    <xf numFmtId="0" fontId="46" fillId="0" borderId="0" xfId="0" applyFont="1"/>
    <xf numFmtId="0" fontId="47" fillId="0" borderId="0" xfId="0" applyFont="1"/>
    <xf numFmtId="0" fontId="7" fillId="25" borderId="0" xfId="83" applyFont="1" applyFill="1" applyAlignment="1">
      <alignment horizontal="left" vertical="center" wrapText="1"/>
    </xf>
    <xf numFmtId="168" fontId="0" fillId="0" borderId="0" xfId="0" applyNumberFormat="1" applyAlignment="1">
      <alignment vertical="center"/>
    </xf>
    <xf numFmtId="168" fontId="0" fillId="0" borderId="11" xfId="0" applyNumberFormat="1" applyBorder="1" applyAlignment="1">
      <alignment vertical="center" wrapText="1"/>
    </xf>
    <xf numFmtId="168" fontId="0" fillId="0" borderId="11" xfId="0" applyNumberFormat="1" applyBorder="1" applyAlignment="1">
      <alignment vertical="center"/>
    </xf>
    <xf numFmtId="0" fontId="0" fillId="0" borderId="11" xfId="0" applyBorder="1" applyAlignment="1">
      <alignment vertical="top"/>
    </xf>
    <xf numFmtId="0" fontId="0" fillId="0" borderId="22" xfId="0" applyBorder="1" applyAlignment="1">
      <alignment horizontal="left" vertical="top" wrapText="1"/>
    </xf>
    <xf numFmtId="0" fontId="42" fillId="28" borderId="12" xfId="0" applyFont="1" applyFill="1" applyBorder="1" applyAlignment="1">
      <alignment vertical="center"/>
    </xf>
    <xf numFmtId="0" fontId="42" fillId="28" borderId="17" xfId="0" applyFont="1" applyFill="1" applyBorder="1" applyAlignment="1">
      <alignment vertical="center"/>
    </xf>
    <xf numFmtId="0" fontId="0" fillId="0" borderId="11" xfId="0" applyBorder="1"/>
    <xf numFmtId="0" fontId="0" fillId="0" borderId="11" xfId="0" quotePrefix="1" applyBorder="1" applyAlignment="1">
      <alignment wrapText="1"/>
    </xf>
    <xf numFmtId="166" fontId="28" fillId="24" borderId="11" xfId="56" applyNumberFormat="1" applyFill="1" applyBorder="1" applyAlignment="1">
      <alignment vertical="center"/>
    </xf>
    <xf numFmtId="0" fontId="0" fillId="24" borderId="11" xfId="0" applyFill="1" applyBorder="1" applyAlignment="1">
      <alignment vertical="center"/>
    </xf>
    <xf numFmtId="165" fontId="0" fillId="24" borderId="11" xfId="0" applyNumberFormat="1" applyFill="1" applyBorder="1" applyAlignment="1">
      <alignment vertical="center"/>
    </xf>
    <xf numFmtId="0" fontId="0" fillId="24" borderId="12" xfId="0" applyFill="1" applyBorder="1" applyAlignment="1">
      <alignment vertical="top"/>
    </xf>
    <xf numFmtId="0" fontId="0" fillId="24" borderId="11" xfId="0" applyFill="1" applyBorder="1" applyAlignment="1">
      <alignment vertical="top" wrapText="1"/>
    </xf>
    <xf numFmtId="0" fontId="0" fillId="0" borderId="11" xfId="0" applyBorder="1" applyAlignment="1">
      <alignment horizontal="left" vertical="center"/>
    </xf>
    <xf numFmtId="0" fontId="0" fillId="24" borderId="11" xfId="0" applyFill="1" applyBorder="1" applyAlignment="1">
      <alignment horizontal="center" vertical="center"/>
    </xf>
    <xf numFmtId="164" fontId="0" fillId="24" borderId="11" xfId="0" applyNumberFormat="1" applyFill="1" applyBorder="1" applyAlignment="1">
      <alignment vertical="center"/>
    </xf>
    <xf numFmtId="165" fontId="0" fillId="24" borderId="17" xfId="0" applyNumberFormat="1" applyFill="1" applyBorder="1" applyAlignment="1">
      <alignment vertical="center"/>
    </xf>
    <xf numFmtId="165" fontId="40" fillId="24" borderId="11" xfId="0" applyNumberFormat="1" applyFont="1" applyFill="1" applyBorder="1" applyAlignment="1">
      <alignment vertical="center"/>
    </xf>
    <xf numFmtId="165" fontId="0" fillId="29" borderId="11" xfId="0" applyNumberFormat="1" applyFill="1" applyBorder="1" applyAlignment="1">
      <alignment horizontal="center" vertical="center"/>
    </xf>
    <xf numFmtId="164" fontId="0" fillId="24" borderId="11" xfId="91" applyNumberFormat="1" applyFont="1" applyFill="1" applyBorder="1" applyAlignment="1">
      <alignment vertical="center"/>
    </xf>
    <xf numFmtId="164" fontId="40" fillId="24" borderId="11" xfId="0" applyNumberFormat="1" applyFont="1" applyFill="1" applyBorder="1" applyAlignment="1">
      <alignment vertical="center"/>
    </xf>
    <xf numFmtId="10" fontId="0" fillId="24" borderId="11" xfId="0" applyNumberFormat="1" applyFill="1" applyBorder="1" applyAlignment="1">
      <alignment vertical="center"/>
    </xf>
    <xf numFmtId="164" fontId="40" fillId="24" borderId="11" xfId="91" applyNumberFormat="1" applyFont="1" applyFill="1" applyBorder="1" applyAlignment="1">
      <alignment vertical="center"/>
    </xf>
    <xf numFmtId="0" fontId="0" fillId="24" borderId="12" xfId="0" applyFill="1" applyBorder="1" applyAlignment="1">
      <alignment horizontal="right" vertical="center"/>
    </xf>
    <xf numFmtId="0" fontId="47" fillId="0" borderId="0" xfId="0" applyFont="1" applyAlignment="1">
      <alignment horizontal="left"/>
    </xf>
    <xf numFmtId="0" fontId="47" fillId="0" borderId="0" xfId="0" applyFont="1" applyAlignment="1">
      <alignment horizontal="left" vertical="center"/>
    </xf>
    <xf numFmtId="0" fontId="45" fillId="31" borderId="13"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2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5" fillId="31" borderId="0" xfId="0" applyFont="1" applyFill="1" applyAlignment="1">
      <alignment horizontal="left" vertical="center" wrapText="1"/>
    </xf>
    <xf numFmtId="0" fontId="45" fillId="31" borderId="18" xfId="0" applyFont="1" applyFill="1" applyBorder="1" applyAlignment="1">
      <alignment horizontal="left" vertical="center" wrapText="1"/>
    </xf>
    <xf numFmtId="0" fontId="45" fillId="31" borderId="24" xfId="0" applyFont="1" applyFill="1" applyBorder="1" applyAlignment="1">
      <alignment horizontal="left" vertical="center" wrapText="1"/>
    </xf>
    <xf numFmtId="0" fontId="45" fillId="31" borderId="10"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6" fillId="0" borderId="0" xfId="0" applyFont="1" applyAlignment="1">
      <alignment horizontal="left" vertical="center"/>
    </xf>
    <xf numFmtId="0" fontId="39" fillId="28" borderId="0" xfId="0" applyFont="1" applyFill="1" applyAlignment="1">
      <alignment horizontal="center" vertical="center" wrapText="1"/>
    </xf>
    <xf numFmtId="0" fontId="43" fillId="0" borderId="15" xfId="0" applyFont="1" applyBorder="1" applyAlignment="1">
      <alignment horizontal="center" vertical="top" wrapText="1"/>
    </xf>
    <xf numFmtId="0" fontId="43" fillId="0" borderId="16" xfId="0" applyFont="1" applyBorder="1" applyAlignment="1">
      <alignment horizontal="center" vertical="top" wrapText="1"/>
    </xf>
    <xf numFmtId="0" fontId="43" fillId="0" borderId="19" xfId="0" applyFont="1" applyBorder="1" applyAlignment="1">
      <alignment horizontal="center" vertical="top" wrapText="1"/>
    </xf>
    <xf numFmtId="0" fontId="4" fillId="25" borderId="0" xfId="0" applyFont="1" applyFill="1" applyAlignment="1">
      <alignment horizontal="left" vertical="center" wrapText="1"/>
    </xf>
    <xf numFmtId="0" fontId="32" fillId="0" borderId="0" xfId="0" applyFont="1" applyAlignment="1">
      <alignment horizontal="left"/>
    </xf>
    <xf numFmtId="0" fontId="7" fillId="0" borderId="11" xfId="82" applyFont="1" applyBorder="1" applyAlignment="1">
      <alignment horizontal="center" vertical="center" textRotation="90"/>
    </xf>
    <xf numFmtId="0" fontId="7" fillId="0" borderId="15" xfId="82" applyFont="1" applyBorder="1" applyAlignment="1">
      <alignment horizontal="center" vertical="center" textRotation="90"/>
    </xf>
    <xf numFmtId="0" fontId="7" fillId="0" borderId="16" xfId="82" applyFont="1" applyBorder="1" applyAlignment="1">
      <alignment horizontal="center" vertical="center" textRotation="90"/>
    </xf>
    <xf numFmtId="0" fontId="7" fillId="0" borderId="19" xfId="82" applyFont="1" applyBorder="1" applyAlignment="1">
      <alignment horizontal="center" vertical="center" textRotation="90"/>
    </xf>
    <xf numFmtId="0" fontId="40" fillId="24" borderId="17" xfId="0" applyFont="1" applyFill="1" applyBorder="1" applyAlignment="1">
      <alignment horizontal="center" vertical="top" wrapText="1"/>
    </xf>
    <xf numFmtId="0" fontId="40" fillId="24" borderId="11" xfId="0" applyFont="1" applyFill="1" applyBorder="1" applyAlignment="1">
      <alignment horizontal="center" vertical="top" wrapText="1"/>
    </xf>
    <xf numFmtId="0" fontId="40" fillId="24" borderId="12" xfId="0" applyFont="1" applyFill="1" applyBorder="1" applyAlignment="1">
      <alignment horizontal="center" wrapText="1"/>
    </xf>
    <xf numFmtId="0" fontId="40" fillId="24" borderId="17" xfId="0" applyFont="1" applyFill="1" applyBorder="1" applyAlignment="1">
      <alignment horizontal="center" wrapText="1"/>
    </xf>
    <xf numFmtId="168" fontId="29" fillId="0" borderId="11" xfId="72" applyNumberFormat="1" applyBorder="1" applyAlignment="1" applyProtection="1">
      <alignment horizontal="left" vertical="top"/>
    </xf>
    <xf numFmtId="168" fontId="0" fillId="0" borderId="11" xfId="0" applyNumberFormat="1" applyBorder="1" applyAlignment="1">
      <alignment horizontal="left" vertical="top"/>
    </xf>
    <xf numFmtId="0" fontId="0" fillId="0" borderId="15" xfId="0" applyBorder="1" applyAlignment="1">
      <alignment horizontal="right"/>
    </xf>
    <xf numFmtId="0" fontId="0" fillId="0" borderId="19" xfId="0" applyBorder="1" applyAlignment="1">
      <alignment horizontal="right"/>
    </xf>
    <xf numFmtId="0" fontId="0" fillId="0" borderId="15" xfId="0" applyBorder="1" applyAlignment="1">
      <alignment horizontal="left"/>
    </xf>
    <xf numFmtId="0" fontId="0" fillId="0" borderId="19" xfId="0" applyBorder="1" applyAlignment="1">
      <alignment horizontal="left"/>
    </xf>
    <xf numFmtId="0" fontId="0" fillId="0" borderId="13" xfId="0" applyBorder="1" applyAlignment="1">
      <alignment horizontal="left" vertical="top"/>
    </xf>
    <xf numFmtId="0" fontId="0" fillId="0" borderId="23" xfId="0" applyBorder="1" applyAlignment="1">
      <alignment horizontal="left" vertical="top"/>
    </xf>
    <xf numFmtId="0" fontId="0" fillId="0" borderId="21" xfId="0" applyBorder="1" applyAlignment="1">
      <alignment horizontal="left" vertical="top"/>
    </xf>
    <xf numFmtId="0" fontId="0" fillId="0" borderId="24" xfId="0" applyBorder="1" applyAlignment="1">
      <alignment horizontal="left" vertical="top"/>
    </xf>
    <xf numFmtId="0" fontId="0" fillId="0" borderId="10" xfId="0" applyBorder="1" applyAlignment="1">
      <alignment horizontal="left" vertical="top"/>
    </xf>
    <xf numFmtId="0" fontId="0" fillId="0" borderId="22" xfId="0" applyBorder="1" applyAlignment="1">
      <alignment horizontal="left" vertical="top"/>
    </xf>
    <xf numFmtId="168" fontId="0" fillId="0" borderId="11" xfId="0" applyNumberFormat="1" applyBorder="1" applyAlignment="1">
      <alignment horizontal="left" vertical="center"/>
    </xf>
    <xf numFmtId="168" fontId="29" fillId="0" borderId="11" xfId="72" applyNumberFormat="1" applyBorder="1" applyAlignment="1" applyProtection="1">
      <alignment horizontal="left" vertical="center"/>
    </xf>
    <xf numFmtId="0" fontId="0" fillId="0" borderId="13" xfId="0" applyBorder="1" applyAlignment="1">
      <alignment horizontal="left" vertical="center"/>
    </xf>
    <xf numFmtId="0" fontId="0" fillId="0" borderId="23" xfId="0" applyBorder="1" applyAlignment="1">
      <alignment horizontal="left" vertical="center"/>
    </xf>
    <xf numFmtId="0" fontId="0" fillId="0" borderId="21"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24" borderId="15" xfId="0" applyFill="1" applyBorder="1" applyAlignment="1">
      <alignment horizontal="center" vertical="center"/>
    </xf>
    <xf numFmtId="0" fontId="0" fillId="24" borderId="19" xfId="0" applyFill="1" applyBorder="1" applyAlignment="1">
      <alignment horizontal="center" vertical="center"/>
    </xf>
    <xf numFmtId="0" fontId="0" fillId="0" borderId="15" xfId="0" applyBorder="1" applyAlignment="1">
      <alignment horizontal="left" vertical="center"/>
    </xf>
    <xf numFmtId="0" fontId="0" fillId="0" borderId="19" xfId="0" applyBorder="1" applyAlignment="1">
      <alignment horizontal="left" vertical="center"/>
    </xf>
  </cellXfs>
  <cellStyles count="109">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ariel" xfId="49" xr:uid="{00000000-0005-0000-0000-000030000000}"/>
    <cellStyle name="Bad 2" xfId="50" xr:uid="{00000000-0005-0000-0000-000031000000}"/>
    <cellStyle name="Bad 3" xfId="51" xr:uid="{00000000-0005-0000-0000-000032000000}"/>
    <cellStyle name="Calculation 2" xfId="52" xr:uid="{00000000-0005-0000-0000-000033000000}"/>
    <cellStyle name="Calculation 3" xfId="53" xr:uid="{00000000-0005-0000-0000-000034000000}"/>
    <cellStyle name="Check Cell 2" xfId="54" xr:uid="{00000000-0005-0000-0000-000035000000}"/>
    <cellStyle name="Check Cell 3" xfId="55" xr:uid="{00000000-0005-0000-0000-000036000000}"/>
    <cellStyle name="Comma" xfId="56" builtinId="3"/>
    <cellStyle name="Comma 2" xfId="57" xr:uid="{00000000-0005-0000-0000-000038000000}"/>
    <cellStyle name="Comma 3" xfId="58" xr:uid="{00000000-0005-0000-0000-000039000000}"/>
    <cellStyle name="Comma 4" xfId="59" xr:uid="{00000000-0005-0000-0000-00003A000000}"/>
    <cellStyle name="Currency" xfId="108" builtinId="4"/>
    <cellStyle name="Explanatory Text 2" xfId="60" xr:uid="{00000000-0005-0000-0000-00003C000000}"/>
    <cellStyle name="Explanatory Text 3" xfId="61" xr:uid="{00000000-0005-0000-0000-00003D000000}"/>
    <cellStyle name="Good 2" xfId="62" xr:uid="{00000000-0005-0000-0000-00003E000000}"/>
    <cellStyle name="Good 3" xfId="63" xr:uid="{00000000-0005-0000-0000-00003F000000}"/>
    <cellStyle name="Heading 1 2" xfId="64" xr:uid="{00000000-0005-0000-0000-000040000000}"/>
    <cellStyle name="Heading 1 3" xfId="65" xr:uid="{00000000-0005-0000-0000-000041000000}"/>
    <cellStyle name="Heading 2 2" xfId="66" xr:uid="{00000000-0005-0000-0000-000042000000}"/>
    <cellStyle name="Heading 2 3" xfId="67" xr:uid="{00000000-0005-0000-0000-000043000000}"/>
    <cellStyle name="Heading 3 2" xfId="68" xr:uid="{00000000-0005-0000-0000-000044000000}"/>
    <cellStyle name="Heading 3 2 2" xfId="107" xr:uid="{00000000-0005-0000-0000-000045000000}"/>
    <cellStyle name="Heading 3 3" xfId="69" xr:uid="{00000000-0005-0000-0000-000046000000}"/>
    <cellStyle name="Heading 3 3 2" xfId="106" xr:uid="{00000000-0005-0000-0000-000047000000}"/>
    <cellStyle name="Heading 4 2" xfId="70" xr:uid="{00000000-0005-0000-0000-000048000000}"/>
    <cellStyle name="Heading 4 3" xfId="71" xr:uid="{00000000-0005-0000-0000-000049000000}"/>
    <cellStyle name="Hyperlink" xfId="72" builtinId="8"/>
    <cellStyle name="Hyperlink 2" xfId="73" xr:uid="{00000000-0005-0000-0000-00004B000000}"/>
    <cellStyle name="Hyperlink 2 2" xfId="74" xr:uid="{00000000-0005-0000-0000-00004C000000}"/>
    <cellStyle name="Hyperlink 3" xfId="75" xr:uid="{00000000-0005-0000-0000-00004D000000}"/>
    <cellStyle name="Hyperlink 4" xfId="102" xr:uid="{00000000-0005-0000-0000-00004E000000}"/>
    <cellStyle name="Hyperlink 5" xfId="101" xr:uid="{00000000-0005-0000-0000-00004F000000}"/>
    <cellStyle name="Input 2" xfId="76" xr:uid="{00000000-0005-0000-0000-000050000000}"/>
    <cellStyle name="Input 3" xfId="77" xr:uid="{00000000-0005-0000-0000-000051000000}"/>
    <cellStyle name="Linked Cell 2" xfId="78" xr:uid="{00000000-0005-0000-0000-000052000000}"/>
    <cellStyle name="Linked Cell 3" xfId="79" xr:uid="{00000000-0005-0000-0000-000053000000}"/>
    <cellStyle name="Neutral 2" xfId="80" xr:uid="{00000000-0005-0000-0000-000054000000}"/>
    <cellStyle name="Neutral 3" xfId="81" xr:uid="{00000000-0005-0000-0000-000055000000}"/>
    <cellStyle name="Normal" xfId="0" builtinId="0"/>
    <cellStyle name="Normal 2" xfId="82" xr:uid="{00000000-0005-0000-0000-000057000000}"/>
    <cellStyle name="Normal 2 2" xfId="83" xr:uid="{00000000-0005-0000-0000-000058000000}"/>
    <cellStyle name="Normal 3" xfId="84" xr:uid="{00000000-0005-0000-0000-000059000000}"/>
    <cellStyle name="Normal 3 2" xfId="85" xr:uid="{00000000-0005-0000-0000-00005A000000}"/>
    <cellStyle name="Normal 4" xfId="86" xr:uid="{00000000-0005-0000-0000-00005B000000}"/>
    <cellStyle name="Normal 4 2" xfId="100" xr:uid="{00000000-0005-0000-0000-00005C000000}"/>
    <cellStyle name="Normal 5" xfId="103" xr:uid="{00000000-0005-0000-0000-00005D000000}"/>
    <cellStyle name="Normal 6" xfId="104" xr:uid="{00000000-0005-0000-0000-00005E000000}"/>
    <cellStyle name="Normal 7" xfId="105" xr:uid="{00000000-0005-0000-0000-00005F000000}"/>
    <cellStyle name="Note 2" xfId="87" xr:uid="{00000000-0005-0000-0000-000062000000}"/>
    <cellStyle name="Note 3" xfId="88" xr:uid="{00000000-0005-0000-0000-000063000000}"/>
    <cellStyle name="Output 2" xfId="89" xr:uid="{00000000-0005-0000-0000-000064000000}"/>
    <cellStyle name="Output 3" xfId="90" xr:uid="{00000000-0005-0000-0000-000065000000}"/>
    <cellStyle name="Per cent" xfId="91" builtinId="5"/>
    <cellStyle name="Percent 2" xfId="92" xr:uid="{00000000-0005-0000-0000-000067000000}"/>
    <cellStyle name="Percent 3" xfId="93" xr:uid="{00000000-0005-0000-0000-000068000000}"/>
    <cellStyle name="Title 2" xfId="94" xr:uid="{00000000-0005-0000-0000-000069000000}"/>
    <cellStyle name="Title 3" xfId="95" xr:uid="{00000000-0005-0000-0000-00006A000000}"/>
    <cellStyle name="Total 2" xfId="96" xr:uid="{00000000-0005-0000-0000-00006B000000}"/>
    <cellStyle name="Total 3" xfId="97" xr:uid="{00000000-0005-0000-0000-00006C000000}"/>
    <cellStyle name="Warning Text 2" xfId="98" xr:uid="{00000000-0005-0000-0000-00006D000000}"/>
    <cellStyle name="Warning Text 3" xfId="99" xr:uid="{00000000-0005-0000-0000-00006E000000}"/>
  </cellStyles>
  <dxfs count="0"/>
  <tableStyles count="0" defaultTableStyle="TableStyleMedium9" defaultPivotStyle="PivotStyleLight16"/>
  <colors>
    <mruColors>
      <color rgb="FFFF3399"/>
      <color rgb="FFFF00FF"/>
      <color rgb="FF004650"/>
      <color rgb="FF451551"/>
      <color rgb="FF453D51"/>
      <color rgb="FF000000"/>
      <color rgb="FF15434A"/>
      <color rgb="FF18646E"/>
      <color rgb="FF4F7D83"/>
      <color rgb="FF451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Care worker cost per hour - type 1.  Split of cost elements</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9FD1-4274-BBF2-0C1388E7882A}"/>
              </c:ext>
            </c:extLst>
          </c:dPt>
          <c:dPt>
            <c:idx val="1"/>
            <c:bubble3D val="0"/>
            <c:explosion val="5"/>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9FD1-4274-BBF2-0C1388E7882A}"/>
              </c:ext>
            </c:extLst>
          </c:dPt>
          <c:dPt>
            <c:idx val="2"/>
            <c:bubble3D val="0"/>
            <c:explosion val="5"/>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4-3CD0-486C-9F7F-C1BCC35DA19F}"/>
              </c:ext>
            </c:extLst>
          </c:dPt>
          <c:dLbls>
            <c:dLbl>
              <c:idx val="0"/>
              <c:layout>
                <c:manualLayout>
                  <c:x val="-0.15466157407407408"/>
                  <c:y val="-0.1287207207207208"/>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FD1-4274-BBF2-0C1388E7882A}"/>
                </c:ext>
              </c:extLst>
            </c:dLbl>
            <c:dLbl>
              <c:idx val="1"/>
              <c:layout>
                <c:manualLayout>
                  <c:x val="0.11415590277777778"/>
                  <c:y val="0.14570848743480322"/>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FD1-4274-BBF2-0C1388E7882A}"/>
                </c:ext>
              </c:extLst>
            </c:dLbl>
            <c:dLbl>
              <c:idx val="2"/>
              <c:layout>
                <c:manualLayout>
                  <c:x val="0.10316377314814815"/>
                  <c:y val="0.21217164532954005"/>
                </c:manualLayout>
              </c:layout>
              <c:tx>
                <c:rich>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fld id="{54BEA46C-B3E4-4A96-8DEA-2D805271DB4C}" type="VALUE">
                      <a:rPr lang="en-US"/>
                      <a:pPr>
                        <a:defRPr sz="1800"/>
                      </a:pPr>
                      <a:t>[]</a:t>
                    </a:fld>
                    <a:r>
                      <a:rPr lang="en-US" baseline="0"/>
                      <a:t>, </a:t>
                    </a:r>
                  </a:p>
                  <a:p>
                    <a:pPr>
                      <a:defRPr sz="1800"/>
                    </a:pPr>
                    <a:fld id="{EE30F14B-7792-4BB2-9554-4E9E9E2BE1DF}" type="PERCENTAGE">
                      <a:rPr lang="en-US" baseline="0"/>
                      <a:pPr>
                        <a:defRPr sz="1800"/>
                      </a:pPr>
                      <a:t>[]</a:t>
                    </a:fld>
                    <a:endParaRPr/>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CD0-486C-9F7F-C1BCC35DA19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'Unit Costs (Example)'!$F$188:$F$190</c:f>
              <c:strCache>
                <c:ptCount val="3"/>
                <c:pt idx="0">
                  <c:v>Direct staff cost elements</c:v>
                </c:pt>
                <c:pt idx="1">
                  <c:v>Overheads (Indirect cost elements)</c:v>
                </c:pt>
                <c:pt idx="2">
                  <c:v>Contribution to provider sustainability</c:v>
                </c:pt>
              </c:strCache>
            </c:strRef>
          </c:cat>
          <c:val>
            <c:numRef>
              <c:f>'Unit Costs (Example)'!$I$188:$I$190</c:f>
              <c:numCache>
                <c:formatCode>"£"#,##0.00</c:formatCode>
                <c:ptCount val="3"/>
                <c:pt idx="0">
                  <c:v>13.380353101304618</c:v>
                </c:pt>
                <c:pt idx="1">
                  <c:v>2.7253347990015682</c:v>
                </c:pt>
                <c:pt idx="2">
                  <c:v>0.80528439501530935</c:v>
                </c:pt>
              </c:numCache>
            </c:numRef>
          </c:val>
          <c:extLst>
            <c:ext xmlns:c16="http://schemas.microsoft.com/office/drawing/2014/chart" uri="{C3380CC4-5D6E-409C-BE32-E72D297353CC}">
              <c16:uniqueId val="{00000000-294A-4402-92B5-0BD08CD113D1}"/>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manualLayout>
          <c:xMode val="edge"/>
          <c:yMode val="edge"/>
          <c:x val="2.5011574074074082E-2"/>
          <c:y val="0.12065301090564248"/>
          <c:w val="0.19738425925925923"/>
          <c:h val="0.57408250355618773"/>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Care worker cost per hour - type 2.  Split of cost elements</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explosion val="5"/>
          <c:dPt>
            <c:idx val="0"/>
            <c:bubble3D val="0"/>
            <c:explosion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C53-42FD-93CB-ABCB4A97FD1F}"/>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4AD0-4F33-89FB-EF0DDFD392E4}"/>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4-E0EE-48E9-BBD7-28BAD086D906}"/>
              </c:ext>
            </c:extLst>
          </c:dPt>
          <c:dLbls>
            <c:dLbl>
              <c:idx val="0"/>
              <c:layout>
                <c:manualLayout>
                  <c:x val="-0.11464722222222222"/>
                  <c:y val="-0.15128212422949275"/>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C53-42FD-93CB-ABCB4A97FD1F}"/>
                </c:ext>
              </c:extLst>
            </c:dLbl>
            <c:dLbl>
              <c:idx val="1"/>
              <c:layout>
                <c:manualLayout>
                  <c:x val="0.11804409722222223"/>
                  <c:y val="0.14646088193456611"/>
                </c:manualLayout>
              </c:layout>
              <c:tx>
                <c:rich>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fld id="{7ED87BC1-8523-420D-832D-D865E7C6E126}" type="VALUE">
                      <a:rPr lang="en-US" sz="1800"/>
                      <a:pPr>
                        <a:defRPr sz="1800"/>
                      </a:pPr>
                      <a:t>[]</a:t>
                    </a:fld>
                    <a:r>
                      <a:rPr lang="en-US" sz="1800" baseline="0"/>
                      <a:t>, </a:t>
                    </a:r>
                    <a:fld id="{CC238038-CDE2-4119-BE80-EBEADF9744CA}" type="PERCENTAGE">
                      <a:rPr lang="en-US" sz="1800" baseline="0"/>
                      <a:pPr>
                        <a:defRPr sz="1800"/>
                      </a:pPr>
                      <a:t>[]</a:t>
                    </a:fld>
                    <a:endParaRPr lang="en-US" sz="1800" baseline="0"/>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4AD0-4F33-89FB-EF0DDFD392E4}"/>
                </c:ext>
              </c:extLst>
            </c:dLbl>
            <c:dLbl>
              <c:idx val="2"/>
              <c:layout>
                <c:manualLayout>
                  <c:x val="0.10453310185185186"/>
                  <c:y val="0.20488515884305358"/>
                </c:manualLayout>
              </c:layout>
              <c:tx>
                <c:rich>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fld id="{858FACEA-E05F-4861-9D7A-16E5C23B4373}" type="VALUE">
                      <a:rPr lang="en-US"/>
                      <a:pPr>
                        <a:defRPr sz="1800"/>
                      </a:pPr>
                      <a:t>[]</a:t>
                    </a:fld>
                    <a:r>
                      <a:rPr lang="en-US" baseline="0"/>
                      <a:t>, </a:t>
                    </a:r>
                  </a:p>
                  <a:p>
                    <a:pPr>
                      <a:defRPr sz="1800"/>
                    </a:pPr>
                    <a:fld id="{B0DEB914-186D-4D48-B4A7-08504042154A}" type="PERCENTAGE">
                      <a:rPr lang="en-US" baseline="0"/>
                      <a:pPr>
                        <a:defRPr sz="1800"/>
                      </a:pPr>
                      <a:t>[]</a:t>
                    </a:fld>
                    <a:endParaRPr/>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E0EE-48E9-BBD7-28BAD086D90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'Unit Costs (Example)'!$F$194:$F$196</c:f>
              <c:strCache>
                <c:ptCount val="3"/>
                <c:pt idx="0">
                  <c:v>Direct staff cost elements</c:v>
                </c:pt>
                <c:pt idx="1">
                  <c:v>Overheads (Indirect cost elements)</c:v>
                </c:pt>
                <c:pt idx="2">
                  <c:v>Contribution to provider sustainability</c:v>
                </c:pt>
              </c:strCache>
            </c:strRef>
          </c:cat>
          <c:val>
            <c:numRef>
              <c:f>'Unit Costs (Example)'!$I$194:$I$196</c:f>
              <c:numCache>
                <c:formatCode>"£"#,##0.00</c:formatCode>
                <c:ptCount val="3"/>
                <c:pt idx="0">
                  <c:v>16.074587212307691</c:v>
                </c:pt>
                <c:pt idx="1">
                  <c:v>2.7253347990015682</c:v>
                </c:pt>
                <c:pt idx="2">
                  <c:v>0.93999610056546301</c:v>
                </c:pt>
              </c:numCache>
            </c:numRef>
          </c:val>
          <c:extLst>
            <c:ext xmlns:c16="http://schemas.microsoft.com/office/drawing/2014/chart" uri="{C3380CC4-5D6E-409C-BE32-E72D297353CC}">
              <c16:uniqueId val="{00000000-4AD0-4F33-89FB-EF0DDFD392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manualLayout>
          <c:xMode val="edge"/>
          <c:yMode val="edge"/>
          <c:x val="2.4530902777777773E-2"/>
          <c:y val="0.10860938833570415"/>
          <c:w val="0.21010474537037038"/>
          <c:h val="0.58020180180180181"/>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Care worker cost per hour - type 1.  Split of cost elements</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429A-4844-9455-2B4800EF22AC}"/>
              </c:ext>
            </c:extLst>
          </c:dPt>
          <c:dPt>
            <c:idx val="1"/>
            <c:bubble3D val="0"/>
            <c:explosion val="5"/>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429A-4844-9455-2B4800EF22AC}"/>
              </c:ext>
            </c:extLst>
          </c:dPt>
          <c:dPt>
            <c:idx val="2"/>
            <c:bubble3D val="0"/>
            <c:explosion val="5"/>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429A-4844-9455-2B4800EF22AC}"/>
              </c:ext>
            </c:extLst>
          </c:dPt>
          <c:dLbls>
            <c:dLbl>
              <c:idx val="0"/>
              <c:layout>
                <c:manualLayout>
                  <c:x val="-0.15466157407407408"/>
                  <c:y val="-0.1287207207207208"/>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29A-4844-9455-2B4800EF22AC}"/>
                </c:ext>
              </c:extLst>
            </c:dLbl>
            <c:dLbl>
              <c:idx val="1"/>
              <c:layout>
                <c:manualLayout>
                  <c:x val="0.11415590277777778"/>
                  <c:y val="0.14570848743480322"/>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29A-4844-9455-2B4800EF22AC}"/>
                </c:ext>
              </c:extLst>
            </c:dLbl>
            <c:dLbl>
              <c:idx val="2"/>
              <c:layout>
                <c:manualLayout>
                  <c:x val="0.10316377314814815"/>
                  <c:y val="0.21217164532954005"/>
                </c:manualLayout>
              </c:layout>
              <c:tx>
                <c:rich>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fld id="{54BEA46C-B3E4-4A96-8DEA-2D805271DB4C}" type="VALUE">
                      <a:rPr lang="en-US"/>
                      <a:pPr>
                        <a:defRPr sz="1800"/>
                      </a:pPr>
                      <a:t>[]</a:t>
                    </a:fld>
                    <a:r>
                      <a:rPr lang="en-US" baseline="0"/>
                      <a:t>, </a:t>
                    </a:r>
                  </a:p>
                  <a:p>
                    <a:pPr>
                      <a:defRPr sz="1800"/>
                    </a:pPr>
                    <a:fld id="{EE30F14B-7792-4BB2-9554-4E9E9E2BE1DF}" type="PERCENTAGE">
                      <a:rPr lang="en-US" baseline="0"/>
                      <a:pPr>
                        <a:defRPr sz="1800"/>
                      </a:pPr>
                      <a:t>[]</a:t>
                    </a:fld>
                    <a:endParaRPr/>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429A-4844-9455-2B4800EF22A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'Unit Costs (Blank)'!$F$188:$F$190</c:f>
              <c:strCache>
                <c:ptCount val="3"/>
                <c:pt idx="0">
                  <c:v>Direct staff cost elements</c:v>
                </c:pt>
                <c:pt idx="1">
                  <c:v>Overheads (Indirect cost elements)</c:v>
                </c:pt>
                <c:pt idx="2">
                  <c:v>Contribution to provider sustainability</c:v>
                </c:pt>
              </c:strCache>
            </c:strRef>
          </c:cat>
          <c:val>
            <c:numRef>
              <c:f>'Unit Costs (Blank)'!$I$188:$I$190</c:f>
              <c:numCache>
                <c:formatCode>"£"#,##0.00</c:formatCode>
                <c:ptCount val="3"/>
                <c:pt idx="0">
                  <c:v>0</c:v>
                </c:pt>
                <c:pt idx="1">
                  <c:v>0</c:v>
                </c:pt>
                <c:pt idx="2">
                  <c:v>0</c:v>
                </c:pt>
              </c:numCache>
            </c:numRef>
          </c:val>
          <c:extLst>
            <c:ext xmlns:c16="http://schemas.microsoft.com/office/drawing/2014/chart" uri="{C3380CC4-5D6E-409C-BE32-E72D297353CC}">
              <c16:uniqueId val="{00000006-429A-4844-9455-2B4800EF22AC}"/>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manualLayout>
          <c:xMode val="edge"/>
          <c:yMode val="edge"/>
          <c:x val="2.5011574074074082E-2"/>
          <c:y val="0.12065301090564248"/>
          <c:w val="0.19738425925925923"/>
          <c:h val="0.57408250355618773"/>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Care worker cost per hour - type 2.  Split of cost elements</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explosion val="5"/>
          <c:dPt>
            <c:idx val="0"/>
            <c:bubble3D val="0"/>
            <c:explosion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A451-4F52-B0C1-EB853616581B}"/>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A451-4F52-B0C1-EB853616581B}"/>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A451-4F52-B0C1-EB853616581B}"/>
              </c:ext>
            </c:extLst>
          </c:dPt>
          <c:dLbls>
            <c:dLbl>
              <c:idx val="0"/>
              <c:layout>
                <c:manualLayout>
                  <c:x val="-0.11464722222222222"/>
                  <c:y val="-0.15128212422949275"/>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451-4F52-B0C1-EB853616581B}"/>
                </c:ext>
              </c:extLst>
            </c:dLbl>
            <c:dLbl>
              <c:idx val="1"/>
              <c:layout>
                <c:manualLayout>
                  <c:x val="0.11804409722222223"/>
                  <c:y val="0.14646088193456611"/>
                </c:manualLayout>
              </c:layout>
              <c:tx>
                <c:rich>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fld id="{7ED87BC1-8523-420D-832D-D865E7C6E126}" type="VALUE">
                      <a:rPr lang="en-US" sz="1800"/>
                      <a:pPr>
                        <a:defRPr sz="1800"/>
                      </a:pPr>
                      <a:t>[]</a:t>
                    </a:fld>
                    <a:r>
                      <a:rPr lang="en-US" sz="1800" baseline="0"/>
                      <a:t>, </a:t>
                    </a:r>
                    <a:fld id="{CC238038-CDE2-4119-BE80-EBEADF9744CA}" type="PERCENTAGE">
                      <a:rPr lang="en-US" sz="1800" baseline="0"/>
                      <a:pPr>
                        <a:defRPr sz="1800"/>
                      </a:pPr>
                      <a:t>[]</a:t>
                    </a:fld>
                    <a:endParaRPr lang="en-US" sz="1800" baseline="0"/>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451-4F52-B0C1-EB853616581B}"/>
                </c:ext>
              </c:extLst>
            </c:dLbl>
            <c:dLbl>
              <c:idx val="2"/>
              <c:layout>
                <c:manualLayout>
                  <c:x val="0.10453310185185186"/>
                  <c:y val="0.20488515884305358"/>
                </c:manualLayout>
              </c:layout>
              <c:tx>
                <c:rich>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fld id="{858FACEA-E05F-4861-9D7A-16E5C23B4373}" type="VALUE">
                      <a:rPr lang="en-US"/>
                      <a:pPr>
                        <a:defRPr sz="1800"/>
                      </a:pPr>
                      <a:t>[]</a:t>
                    </a:fld>
                    <a:r>
                      <a:rPr lang="en-US" baseline="0"/>
                      <a:t>, </a:t>
                    </a:r>
                  </a:p>
                  <a:p>
                    <a:pPr>
                      <a:defRPr sz="1800"/>
                    </a:pPr>
                    <a:fld id="{B0DEB914-186D-4D48-B4A7-08504042154A}" type="PERCENTAGE">
                      <a:rPr lang="en-US" baseline="0"/>
                      <a:pPr>
                        <a:defRPr sz="1800"/>
                      </a:pPr>
                      <a:t>[]</a:t>
                    </a:fld>
                    <a:endParaRPr/>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451-4F52-B0C1-EB853616581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'Unit Costs (Blank)'!$F$194:$F$196</c:f>
              <c:strCache>
                <c:ptCount val="3"/>
                <c:pt idx="0">
                  <c:v>Direct staff cost elements</c:v>
                </c:pt>
                <c:pt idx="1">
                  <c:v>Overheads (Indirect cost elements)</c:v>
                </c:pt>
                <c:pt idx="2">
                  <c:v>Contribution to provider sustainability</c:v>
                </c:pt>
              </c:strCache>
            </c:strRef>
          </c:cat>
          <c:val>
            <c:numRef>
              <c:f>'Unit Costs (Blank)'!$I$194:$I$196</c:f>
              <c:numCache>
                <c:formatCode>"£"#,##0.00</c:formatCode>
                <c:ptCount val="3"/>
                <c:pt idx="0">
                  <c:v>0</c:v>
                </c:pt>
                <c:pt idx="1">
                  <c:v>0</c:v>
                </c:pt>
                <c:pt idx="2">
                  <c:v>0</c:v>
                </c:pt>
              </c:numCache>
            </c:numRef>
          </c:val>
          <c:extLst>
            <c:ext xmlns:c16="http://schemas.microsoft.com/office/drawing/2014/chart" uri="{C3380CC4-5D6E-409C-BE32-E72D297353CC}">
              <c16:uniqueId val="{00000006-A451-4F52-B0C1-EB853616581B}"/>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manualLayout>
          <c:xMode val="edge"/>
          <c:yMode val="edge"/>
          <c:x val="2.4530902777777773E-2"/>
          <c:y val="0.10860938833570415"/>
          <c:w val="0.21010474537037038"/>
          <c:h val="0.58020180180180181"/>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cid:image001.jpg@01D4E94A.58656A0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Guide!A1"/></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Guide!A1"/></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34</xdr:row>
      <xdr:rowOff>0</xdr:rowOff>
    </xdr:from>
    <xdr:to>
      <xdr:col>4</xdr:col>
      <xdr:colOff>40583</xdr:colOff>
      <xdr:row>39</xdr:row>
      <xdr:rowOff>52070</xdr:rowOff>
    </xdr:to>
    <xdr:pic>
      <xdr:nvPicPr>
        <xdr:cNvPr id="2" name="Picture 1" descr="london">
          <a:extLst>
            <a:ext uri="{FF2B5EF4-FFF2-40B4-BE49-F238E27FC236}">
              <a16:creationId xmlns:a16="http://schemas.microsoft.com/office/drawing/2014/main" id="{274E4E65-5189-4F7E-80E1-7C234FA7F3EF}"/>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31273" y="8382000"/>
          <a:ext cx="1252855" cy="10045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0</xdr:row>
      <xdr:rowOff>76200</xdr:rowOff>
    </xdr:from>
    <xdr:to>
      <xdr:col>6</xdr:col>
      <xdr:colOff>0</xdr:colOff>
      <xdr:row>0</xdr:row>
      <xdr:rowOff>419100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219075" y="76200"/>
          <a:ext cx="1533525" cy="342900"/>
        </a:xfrm>
        <a:prstGeom prst="roundRect">
          <a:avLst/>
        </a:prstGeom>
        <a:solidFill>
          <a:schemeClr val="accent5">
            <a:lumMod val="50000"/>
          </a:schemeClr>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chemeClr val="bg1"/>
              </a:solidFill>
              <a:effectLst/>
              <a:uLnTx/>
              <a:uFillTx/>
              <a:latin typeface="Arial" panose="020B0604020202020204" pitchFamily="34" charset="0"/>
              <a:cs typeface="Arial" panose="020B0604020202020204" pitchFamily="34" charset="0"/>
            </a:rPr>
            <a:t>Back to guide</a:t>
          </a:r>
        </a:p>
      </xdr:txBody>
    </xdr:sp>
    <xdr:clientData/>
  </xdr:twoCellAnchor>
  <xdr:twoCellAnchor>
    <xdr:from>
      <xdr:col>5</xdr:col>
      <xdr:colOff>74838</xdr:colOff>
      <xdr:row>198</xdr:row>
      <xdr:rowOff>111578</xdr:rowOff>
    </xdr:from>
    <xdr:to>
      <xdr:col>8</xdr:col>
      <xdr:colOff>795481</xdr:colOff>
      <xdr:row>226</xdr:row>
      <xdr:rowOff>50078</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54428</xdr:colOff>
      <xdr:row>198</xdr:row>
      <xdr:rowOff>122463</xdr:rowOff>
    </xdr:from>
    <xdr:to>
      <xdr:col>11</xdr:col>
      <xdr:colOff>8694428</xdr:colOff>
      <xdr:row>226</xdr:row>
      <xdr:rowOff>60963</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57150</xdr:colOff>
      <xdr:row>0</xdr:row>
      <xdr:rowOff>76200</xdr:rowOff>
    </xdr:from>
    <xdr:to>
      <xdr:col>6</xdr:col>
      <xdr:colOff>0</xdr:colOff>
      <xdr:row>0</xdr:row>
      <xdr:rowOff>419100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2E9486AF-22DC-4A45-B8C8-AA5E5579746A}"/>
            </a:ext>
          </a:extLst>
        </xdr:cNvPr>
        <xdr:cNvSpPr/>
      </xdr:nvSpPr>
      <xdr:spPr>
        <a:xfrm>
          <a:off x="736600" y="76200"/>
          <a:ext cx="3784600" cy="342900"/>
        </a:xfrm>
        <a:prstGeom prst="roundRect">
          <a:avLst/>
        </a:prstGeom>
        <a:solidFill>
          <a:schemeClr val="accent5">
            <a:lumMod val="50000"/>
          </a:schemeClr>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chemeClr val="bg1"/>
              </a:solidFill>
              <a:effectLst/>
              <a:uLnTx/>
              <a:uFillTx/>
              <a:latin typeface="Arial" panose="020B0604020202020204" pitchFamily="34" charset="0"/>
              <a:cs typeface="Arial" panose="020B0604020202020204" pitchFamily="34" charset="0"/>
            </a:rPr>
            <a:t>Back to guide</a:t>
          </a:r>
        </a:p>
      </xdr:txBody>
    </xdr:sp>
    <xdr:clientData/>
  </xdr:twoCellAnchor>
  <xdr:twoCellAnchor>
    <xdr:from>
      <xdr:col>5</xdr:col>
      <xdr:colOff>74838</xdr:colOff>
      <xdr:row>198</xdr:row>
      <xdr:rowOff>111578</xdr:rowOff>
    </xdr:from>
    <xdr:to>
      <xdr:col>8</xdr:col>
      <xdr:colOff>795481</xdr:colOff>
      <xdr:row>226</xdr:row>
      <xdr:rowOff>50078</xdr:rowOff>
    </xdr:to>
    <xdr:graphicFrame macro="">
      <xdr:nvGraphicFramePr>
        <xdr:cNvPr id="3" name="Chart 2">
          <a:extLst>
            <a:ext uri="{FF2B5EF4-FFF2-40B4-BE49-F238E27FC236}">
              <a16:creationId xmlns:a16="http://schemas.microsoft.com/office/drawing/2014/main" id="{436B8619-6741-4AFA-B12F-155469DC6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54428</xdr:colOff>
      <xdr:row>198</xdr:row>
      <xdr:rowOff>122463</xdr:rowOff>
    </xdr:from>
    <xdr:to>
      <xdr:col>11</xdr:col>
      <xdr:colOff>8694428</xdr:colOff>
      <xdr:row>226</xdr:row>
      <xdr:rowOff>60963</xdr:rowOff>
    </xdr:to>
    <xdr:graphicFrame macro="">
      <xdr:nvGraphicFramePr>
        <xdr:cNvPr id="4" name="Chart 3">
          <a:extLst>
            <a:ext uri="{FF2B5EF4-FFF2-40B4-BE49-F238E27FC236}">
              <a16:creationId xmlns:a16="http://schemas.microsoft.com/office/drawing/2014/main" id="{99F3BC5A-95B1-413F-BBDF-BE2908A8E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NICE\NICE%20Templates\Adoption%20and%20impact%20tools\Resource%20impact%20tools\Resource%20impact%20-%20template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sheetName val="Resource impact template"/>
      <sheetName val="Resource impact over time"/>
      <sheetName val="Supporting info. – unit costs"/>
      <sheetName val="Sensitivity analysis"/>
      <sheetName val="Supporting info. – references"/>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igital.nhs.uk/data-and-information/publications/statistical/adult-social-care-activity-and-finance-report/2017-18" TargetMode="External"/><Relationship Id="rId2" Type="http://schemas.openxmlformats.org/officeDocument/2006/relationships/hyperlink" Target="https://www.nice.org.uk/guidance/ng21" TargetMode="External"/><Relationship Id="rId1" Type="http://schemas.openxmlformats.org/officeDocument/2006/relationships/hyperlink" Target="https://www.cipfa.org/policy-and-guidance/reports/working-with-care-providers-to-understand-costs"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gov.uk/government/publications/improved-better-care-fund-provider-fee-reporting-quarter-2-2018-19"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digital.nhs.uk/data-and-information/publications/statistical/adult-social-care-activity-and-finance-report/2017-18" TargetMode="External"/><Relationship Id="rId2" Type="http://schemas.openxmlformats.org/officeDocument/2006/relationships/hyperlink" Target="https://www.nice.org.uk/guidance/ng21" TargetMode="External"/><Relationship Id="rId1" Type="http://schemas.openxmlformats.org/officeDocument/2006/relationships/hyperlink" Target="https://www.cipfa.org/policy-and-guidance/reports/working-with-care-providers-to-understand-costs"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https://www.gov.uk/government/publications/improved-better-care-fund-provider-fee-reporting-quarter-2-2018-1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633B3-C2C2-4D31-B911-C58F9A394EF4}">
  <sheetPr>
    <tabColor theme="1" tint="0.14999847407452621"/>
    <pageSetUpPr fitToPage="1"/>
  </sheetPr>
  <dimension ref="B2:K42"/>
  <sheetViews>
    <sheetView showGridLines="0" topLeftCell="A4" zoomScaleNormal="100" workbookViewId="0"/>
  </sheetViews>
  <sheetFormatPr defaultRowHeight="14.45"/>
  <cols>
    <col min="1" max="1" width="1.7109375" customWidth="1"/>
    <col min="2" max="2" width="1.85546875" customWidth="1"/>
    <col min="11" max="11" width="1.85546875" customWidth="1"/>
  </cols>
  <sheetData>
    <row r="2" spans="2:11">
      <c r="B2" s="89"/>
      <c r="C2" s="148"/>
      <c r="D2" s="148"/>
      <c r="E2" s="148"/>
      <c r="F2" s="148"/>
      <c r="G2" s="148"/>
      <c r="H2" s="148"/>
      <c r="I2" s="148"/>
      <c r="J2" s="148"/>
      <c r="K2" s="149"/>
    </row>
    <row r="3" spans="2:11">
      <c r="B3" s="150"/>
      <c r="K3" s="151"/>
    </row>
    <row r="4" spans="2:11">
      <c r="B4" s="150"/>
      <c r="C4" s="184" t="s">
        <v>0</v>
      </c>
      <c r="D4" s="185"/>
      <c r="E4" s="185"/>
      <c r="F4" s="185"/>
      <c r="G4" s="185"/>
      <c r="H4" s="185"/>
      <c r="I4" s="185"/>
      <c r="J4" s="186"/>
      <c r="K4" s="151"/>
    </row>
    <row r="5" spans="2:11">
      <c r="B5" s="150"/>
      <c r="C5" s="187"/>
      <c r="D5" s="188"/>
      <c r="E5" s="188"/>
      <c r="F5" s="188"/>
      <c r="G5" s="188"/>
      <c r="H5" s="188"/>
      <c r="I5" s="188"/>
      <c r="J5" s="189"/>
      <c r="K5" s="151"/>
    </row>
    <row r="6" spans="2:11">
      <c r="B6" s="150"/>
      <c r="C6" s="187"/>
      <c r="D6" s="188"/>
      <c r="E6" s="188"/>
      <c r="F6" s="188"/>
      <c r="G6" s="188"/>
      <c r="H6" s="188"/>
      <c r="I6" s="188"/>
      <c r="J6" s="189"/>
      <c r="K6" s="151"/>
    </row>
    <row r="7" spans="2:11">
      <c r="B7" s="150"/>
      <c r="C7" s="187"/>
      <c r="D7" s="188"/>
      <c r="E7" s="188"/>
      <c r="F7" s="188"/>
      <c r="G7" s="188"/>
      <c r="H7" s="188"/>
      <c r="I7" s="188"/>
      <c r="J7" s="189"/>
      <c r="K7" s="151"/>
    </row>
    <row r="8" spans="2:11">
      <c r="B8" s="150"/>
      <c r="C8" s="187"/>
      <c r="D8" s="188"/>
      <c r="E8" s="188"/>
      <c r="F8" s="188"/>
      <c r="G8" s="188"/>
      <c r="H8" s="188"/>
      <c r="I8" s="188"/>
      <c r="J8" s="189"/>
      <c r="K8" s="151"/>
    </row>
    <row r="9" spans="2:11">
      <c r="B9" s="150"/>
      <c r="C9" s="187"/>
      <c r="D9" s="188"/>
      <c r="E9" s="188"/>
      <c r="F9" s="188"/>
      <c r="G9" s="188"/>
      <c r="H9" s="188"/>
      <c r="I9" s="188"/>
      <c r="J9" s="189"/>
      <c r="K9" s="151"/>
    </row>
    <row r="10" spans="2:11">
      <c r="B10" s="150"/>
      <c r="C10" s="187"/>
      <c r="D10" s="188"/>
      <c r="E10" s="188"/>
      <c r="F10" s="188"/>
      <c r="G10" s="188"/>
      <c r="H10" s="188"/>
      <c r="I10" s="188"/>
      <c r="J10" s="189"/>
      <c r="K10" s="151"/>
    </row>
    <row r="11" spans="2:11">
      <c r="B11" s="150"/>
      <c r="C11" s="187"/>
      <c r="D11" s="188"/>
      <c r="E11" s="188"/>
      <c r="F11" s="188"/>
      <c r="G11" s="188"/>
      <c r="H11" s="188"/>
      <c r="I11" s="188"/>
      <c r="J11" s="189"/>
      <c r="K11" s="151"/>
    </row>
    <row r="12" spans="2:11">
      <c r="B12" s="150"/>
      <c r="C12" s="187"/>
      <c r="D12" s="188"/>
      <c r="E12" s="188"/>
      <c r="F12" s="188"/>
      <c r="G12" s="188"/>
      <c r="H12" s="188"/>
      <c r="I12" s="188"/>
      <c r="J12" s="189"/>
      <c r="K12" s="151"/>
    </row>
    <row r="13" spans="2:11">
      <c r="B13" s="150"/>
      <c r="C13" s="187"/>
      <c r="D13" s="188"/>
      <c r="E13" s="188"/>
      <c r="F13" s="188"/>
      <c r="G13" s="188"/>
      <c r="H13" s="188"/>
      <c r="I13" s="188"/>
      <c r="J13" s="189"/>
      <c r="K13" s="151"/>
    </row>
    <row r="14" spans="2:11">
      <c r="B14" s="150"/>
      <c r="C14" s="190"/>
      <c r="D14" s="191"/>
      <c r="E14" s="191"/>
      <c r="F14" s="191"/>
      <c r="G14" s="191"/>
      <c r="H14" s="191"/>
      <c r="I14" s="191"/>
      <c r="J14" s="192"/>
      <c r="K14" s="151"/>
    </row>
    <row r="15" spans="2:11">
      <c r="B15" s="150"/>
      <c r="K15" s="151"/>
    </row>
    <row r="16" spans="2:11">
      <c r="B16" s="150"/>
      <c r="K16" s="151"/>
    </row>
    <row r="17" spans="2:11" ht="28.5" customHeight="1">
      <c r="B17" s="150"/>
      <c r="C17" s="193" t="s">
        <v>1</v>
      </c>
      <c r="D17" s="193"/>
      <c r="E17" s="193"/>
      <c r="F17" s="193"/>
      <c r="G17" s="193"/>
      <c r="H17" s="193"/>
      <c r="I17" s="193"/>
      <c r="J17" s="193"/>
      <c r="K17" s="151"/>
    </row>
    <row r="18" spans="2:11" ht="28.5" customHeight="1">
      <c r="B18" s="150"/>
      <c r="C18" s="193"/>
      <c r="D18" s="193"/>
      <c r="E18" s="193"/>
      <c r="F18" s="193"/>
      <c r="G18" s="193"/>
      <c r="H18" s="193"/>
      <c r="I18" s="193"/>
      <c r="J18" s="193"/>
      <c r="K18" s="151"/>
    </row>
    <row r="19" spans="2:11" ht="28.5" customHeight="1">
      <c r="B19" s="150"/>
      <c r="C19" s="193"/>
      <c r="D19" s="193"/>
      <c r="E19" s="193"/>
      <c r="F19" s="193"/>
      <c r="G19" s="193"/>
      <c r="H19" s="193"/>
      <c r="I19" s="193"/>
      <c r="J19" s="193"/>
      <c r="K19" s="151"/>
    </row>
    <row r="20" spans="2:11" ht="28.5">
      <c r="B20" s="150"/>
      <c r="C20" s="154"/>
      <c r="K20" s="151"/>
    </row>
    <row r="21" spans="2:11" ht="15" customHeight="1">
      <c r="B21" s="150"/>
      <c r="C21" s="193" t="s">
        <v>2</v>
      </c>
      <c r="D21" s="193"/>
      <c r="E21" s="193"/>
      <c r="F21" s="193"/>
      <c r="G21" s="193"/>
      <c r="H21" s="193"/>
      <c r="I21" s="193"/>
      <c r="J21" s="193"/>
      <c r="K21" s="151"/>
    </row>
    <row r="22" spans="2:11" ht="15" customHeight="1">
      <c r="B22" s="150"/>
      <c r="C22" s="193"/>
      <c r="D22" s="193"/>
      <c r="E22" s="193"/>
      <c r="F22" s="193"/>
      <c r="G22" s="193"/>
      <c r="H22" s="193"/>
      <c r="I22" s="193"/>
      <c r="J22" s="193"/>
      <c r="K22" s="151"/>
    </row>
    <row r="23" spans="2:11" ht="15" customHeight="1">
      <c r="B23" s="150"/>
      <c r="C23" s="193"/>
      <c r="D23" s="193"/>
      <c r="E23" s="193"/>
      <c r="F23" s="193"/>
      <c r="G23" s="193"/>
      <c r="H23" s="193"/>
      <c r="I23" s="193"/>
      <c r="J23" s="193"/>
      <c r="K23" s="151"/>
    </row>
    <row r="24" spans="2:11" ht="28.5">
      <c r="B24" s="150"/>
      <c r="C24" s="154"/>
      <c r="K24" s="151"/>
    </row>
    <row r="25" spans="2:11" ht="15" customHeight="1">
      <c r="B25" s="150"/>
      <c r="C25" s="193" t="s">
        <v>3</v>
      </c>
      <c r="D25" s="193"/>
      <c r="E25" s="193"/>
      <c r="F25" s="193"/>
      <c r="G25" s="193"/>
      <c r="H25" s="193"/>
      <c r="I25" s="193"/>
      <c r="J25" s="193"/>
      <c r="K25" s="151"/>
    </row>
    <row r="26" spans="2:11" ht="15" customHeight="1">
      <c r="B26" s="150"/>
      <c r="C26" s="193"/>
      <c r="D26" s="193"/>
      <c r="E26" s="193"/>
      <c r="F26" s="193"/>
      <c r="G26" s="193"/>
      <c r="H26" s="193"/>
      <c r="I26" s="193"/>
      <c r="J26" s="193"/>
      <c r="K26" s="151"/>
    </row>
    <row r="27" spans="2:11" ht="15" customHeight="1">
      <c r="B27" s="150"/>
      <c r="C27" s="193"/>
      <c r="D27" s="193"/>
      <c r="E27" s="193"/>
      <c r="F27" s="193"/>
      <c r="G27" s="193"/>
      <c r="H27" s="193"/>
      <c r="I27" s="193"/>
      <c r="J27" s="193"/>
      <c r="K27" s="151"/>
    </row>
    <row r="28" spans="2:11" ht="28.5">
      <c r="B28" s="150"/>
      <c r="C28" s="154"/>
      <c r="K28" s="151"/>
    </row>
    <row r="29" spans="2:11" ht="18.600000000000001">
      <c r="B29" s="150"/>
      <c r="C29" s="182" t="s">
        <v>4</v>
      </c>
      <c r="D29" s="182"/>
      <c r="E29" s="182"/>
      <c r="F29" s="182"/>
      <c r="G29" s="182"/>
      <c r="H29" s="182"/>
      <c r="I29" s="182"/>
      <c r="J29" s="182"/>
      <c r="K29" s="151"/>
    </row>
    <row r="30" spans="2:11" ht="18.600000000000001">
      <c r="B30" s="150"/>
      <c r="C30" s="155"/>
      <c r="K30" s="151"/>
    </row>
    <row r="31" spans="2:11" ht="18.600000000000001">
      <c r="B31" s="150"/>
      <c r="C31" s="183" t="s">
        <v>5</v>
      </c>
      <c r="D31" s="183"/>
      <c r="E31" s="183"/>
      <c r="F31" s="183"/>
      <c r="G31" s="183"/>
      <c r="H31" s="183"/>
      <c r="I31" s="183"/>
      <c r="J31" s="183"/>
      <c r="K31" s="151"/>
    </row>
    <row r="32" spans="2:11" ht="28.5">
      <c r="B32" s="150"/>
      <c r="C32" s="154"/>
      <c r="K32" s="151"/>
    </row>
    <row r="33" spans="2:11">
      <c r="B33" s="150"/>
      <c r="K33" s="151"/>
    </row>
    <row r="34" spans="2:11">
      <c r="B34" s="150"/>
      <c r="K34" s="151"/>
    </row>
    <row r="35" spans="2:11">
      <c r="B35" s="150"/>
      <c r="K35" s="151"/>
    </row>
    <row r="36" spans="2:11">
      <c r="B36" s="150"/>
      <c r="K36" s="151"/>
    </row>
    <row r="37" spans="2:11">
      <c r="B37" s="150"/>
      <c r="K37" s="151"/>
    </row>
    <row r="38" spans="2:11">
      <c r="B38" s="150"/>
      <c r="K38" s="151"/>
    </row>
    <row r="39" spans="2:11">
      <c r="B39" s="150"/>
      <c r="K39" s="151"/>
    </row>
    <row r="40" spans="2:11">
      <c r="B40" s="150"/>
      <c r="K40" s="151"/>
    </row>
    <row r="41" spans="2:11">
      <c r="B41" s="150"/>
      <c r="K41" s="151"/>
    </row>
    <row r="42" spans="2:11">
      <c r="B42" s="152"/>
      <c r="C42" s="153"/>
      <c r="D42" s="153"/>
      <c r="E42" s="153"/>
      <c r="F42" s="153"/>
      <c r="G42" s="153"/>
      <c r="H42" s="153"/>
      <c r="I42" s="153"/>
      <c r="J42" s="153"/>
      <c r="K42" s="129"/>
    </row>
  </sheetData>
  <mergeCells count="6">
    <mergeCell ref="C29:J29"/>
    <mergeCell ref="C31:J31"/>
    <mergeCell ref="C4:J14"/>
    <mergeCell ref="C17:J19"/>
    <mergeCell ref="C21:J23"/>
    <mergeCell ref="C25:J27"/>
  </mergeCells>
  <pageMargins left="0.7" right="0.7" top="0.75" bottom="0.75" header="0.3" footer="0.3"/>
  <pageSetup paperSize="9"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pageSetUpPr fitToPage="1"/>
  </sheetPr>
  <dimension ref="B2:D26"/>
  <sheetViews>
    <sheetView showGridLines="0" zoomScale="80" zoomScaleNormal="80" zoomScaleSheetLayoutView="100" workbookViewId="0">
      <selection activeCell="B2" sqref="B2"/>
    </sheetView>
  </sheetViews>
  <sheetFormatPr defaultColWidth="9.140625" defaultRowHeight="14.1"/>
  <cols>
    <col min="1" max="1" width="2.28515625" style="4" customWidth="1"/>
    <col min="2" max="2" width="3" style="4" customWidth="1"/>
    <col min="3" max="3" width="85.28515625" style="4" customWidth="1"/>
    <col min="4" max="4" width="3" style="4" customWidth="1"/>
    <col min="5" max="5" width="3.85546875" style="4" customWidth="1"/>
    <col min="6" max="16384" width="9.140625" style="4"/>
  </cols>
  <sheetData>
    <row r="2" spans="2:4">
      <c r="B2" s="6"/>
      <c r="C2" s="6"/>
      <c r="D2" s="6"/>
    </row>
    <row r="3" spans="2:4" s="3" customFormat="1" ht="35.1" customHeight="1">
      <c r="B3" s="2"/>
      <c r="C3" s="12" t="s">
        <v>6</v>
      </c>
      <c r="D3" s="2"/>
    </row>
    <row r="4" spans="2:4" s="3" customFormat="1" ht="15.6">
      <c r="B4" s="2"/>
      <c r="C4" s="1"/>
      <c r="D4" s="2"/>
    </row>
    <row r="5" spans="2:4" s="3" customFormat="1" ht="27.95">
      <c r="B5" s="2"/>
      <c r="C5" s="11" t="s">
        <v>7</v>
      </c>
      <c r="D5" s="2"/>
    </row>
    <row r="6" spans="2:4" s="3" customFormat="1" ht="21" customHeight="1">
      <c r="B6" s="2"/>
      <c r="C6" s="10"/>
      <c r="D6" s="2"/>
    </row>
    <row r="7" spans="2:4" s="3" customFormat="1" ht="51" customHeight="1">
      <c r="B7" s="2"/>
      <c r="C7" s="147" t="s">
        <v>8</v>
      </c>
      <c r="D7" s="2"/>
    </row>
    <row r="8" spans="2:4" s="3" customFormat="1" ht="21" customHeight="1">
      <c r="B8" s="2"/>
      <c r="C8" s="10"/>
      <c r="D8" s="2"/>
    </row>
    <row r="9" spans="2:4" s="3" customFormat="1" ht="63.75" customHeight="1">
      <c r="B9" s="2"/>
      <c r="C9" s="128" t="s">
        <v>9</v>
      </c>
      <c r="D9" s="2"/>
    </row>
    <row r="10" spans="2:4" s="3" customFormat="1" ht="21" customHeight="1">
      <c r="B10" s="2"/>
      <c r="C10" s="10"/>
      <c r="D10" s="2"/>
    </row>
    <row r="11" spans="2:4" s="3" customFormat="1" ht="63.75" customHeight="1">
      <c r="B11" s="2"/>
      <c r="C11" s="128" t="s">
        <v>10</v>
      </c>
      <c r="D11" s="2"/>
    </row>
    <row r="12" spans="2:4" s="3" customFormat="1" ht="21" customHeight="1">
      <c r="B12" s="2"/>
      <c r="C12" s="10"/>
      <c r="D12" s="2"/>
    </row>
    <row r="13" spans="2:4" s="3" customFormat="1" ht="63.75" customHeight="1">
      <c r="B13" s="2"/>
      <c r="C13" s="128" t="s">
        <v>11</v>
      </c>
      <c r="D13" s="2"/>
    </row>
    <row r="14" spans="2:4" s="3" customFormat="1" ht="21" customHeight="1">
      <c r="B14" s="2"/>
      <c r="C14" s="10"/>
      <c r="D14" s="2"/>
    </row>
    <row r="15" spans="2:4" s="3" customFormat="1" ht="63.75" customHeight="1">
      <c r="B15" s="2"/>
      <c r="C15" s="128" t="s">
        <v>12</v>
      </c>
      <c r="D15" s="2"/>
    </row>
    <row r="16" spans="2:4" s="3" customFormat="1" ht="21" customHeight="1">
      <c r="B16" s="2"/>
      <c r="C16" s="10"/>
      <c r="D16" s="2"/>
    </row>
    <row r="17" spans="2:4" s="3" customFormat="1" ht="56.1">
      <c r="B17" s="2"/>
      <c r="C17" s="128" t="s">
        <v>13</v>
      </c>
      <c r="D17" s="2"/>
    </row>
    <row r="18" spans="2:4" s="3" customFormat="1" ht="15.6">
      <c r="B18" s="2"/>
      <c r="C18" s="156"/>
      <c r="D18" s="2"/>
    </row>
    <row r="19" spans="2:4" s="3" customFormat="1" ht="56.1">
      <c r="B19" s="2"/>
      <c r="C19" s="128" t="s">
        <v>14</v>
      </c>
      <c r="D19" s="2"/>
    </row>
    <row r="20" spans="2:4" s="3" customFormat="1" ht="15.6">
      <c r="B20" s="2"/>
      <c r="C20" s="156"/>
      <c r="D20" s="2"/>
    </row>
    <row r="21" spans="2:4" s="3" customFormat="1" ht="56.1">
      <c r="B21" s="2"/>
      <c r="C21" s="128" t="s">
        <v>15</v>
      </c>
      <c r="D21" s="2"/>
    </row>
    <row r="22" spans="2:4" s="3" customFormat="1" ht="21" customHeight="1">
      <c r="B22" s="2"/>
      <c r="C22" s="10"/>
      <c r="D22" s="2"/>
    </row>
    <row r="23" spans="2:4" s="3" customFormat="1" ht="74.25" customHeight="1">
      <c r="B23" s="2"/>
      <c r="C23" s="128" t="s">
        <v>16</v>
      </c>
      <c r="D23" s="2"/>
    </row>
    <row r="24" spans="2:4">
      <c r="B24" s="6"/>
      <c r="C24" s="10"/>
      <c r="D24" s="6"/>
    </row>
    <row r="25" spans="2:4" s="13" customFormat="1" ht="22.5" customHeight="1">
      <c r="B25" s="14"/>
      <c r="C25" s="15" t="s">
        <v>17</v>
      </c>
      <c r="D25" s="14"/>
    </row>
    <row r="26" spans="2:4">
      <c r="B26" s="6"/>
      <c r="C26" s="6"/>
      <c r="D26" s="6"/>
    </row>
  </sheetData>
  <pageMargins left="0.25" right="0.25"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theme="1"/>
    <pageSetUpPr fitToPage="1"/>
  </sheetPr>
  <dimension ref="A1:S307"/>
  <sheetViews>
    <sheetView showGridLines="0" topLeftCell="A121" zoomScale="70" zoomScaleNormal="70" zoomScaleSheetLayoutView="40" workbookViewId="0">
      <selection activeCell="F2" sqref="F2:J2"/>
    </sheetView>
  </sheetViews>
  <sheetFormatPr defaultColWidth="9.140625" defaultRowHeight="12.6"/>
  <cols>
    <col min="1" max="1" width="1.28515625" style="7" customWidth="1"/>
    <col min="2" max="2" width="1.5703125" style="7" customWidth="1"/>
    <col min="3" max="3" width="3.42578125" style="7" customWidth="1"/>
    <col min="4" max="4" width="2.42578125" style="7" customWidth="1"/>
    <col min="5" max="5" width="1" style="7" customWidth="1"/>
    <col min="6" max="6" width="55" style="7" customWidth="1"/>
    <col min="7" max="7" width="44.85546875" style="7" customWidth="1"/>
    <col min="8" max="10" width="18.7109375" style="7" customWidth="1"/>
    <col min="11" max="11" width="13.5703125" style="7" customWidth="1"/>
    <col min="12" max="12" width="130.7109375" style="7" customWidth="1"/>
    <col min="13" max="14" width="9.140625" style="7"/>
    <col min="15" max="15" width="13" style="7" customWidth="1"/>
    <col min="16" max="16" width="9.140625" style="7"/>
    <col min="17" max="17" width="10.5703125" style="7" customWidth="1"/>
    <col min="18" max="16384" width="9.140625" style="7"/>
  </cols>
  <sheetData>
    <row r="1" spans="1:12" ht="39.950000000000003" customHeight="1">
      <c r="F1" s="5"/>
      <c r="G1" s="5"/>
      <c r="H1" s="5"/>
      <c r="I1" s="5"/>
    </row>
    <row r="2" spans="1:12" s="20" customFormat="1" ht="22.5" customHeight="1">
      <c r="A2" s="8"/>
      <c r="B2" s="8"/>
      <c r="C2" s="58"/>
      <c r="D2" s="9"/>
      <c r="E2" s="9"/>
      <c r="F2" s="198"/>
      <c r="G2" s="198"/>
      <c r="H2" s="198"/>
      <c r="I2" s="198"/>
      <c r="J2" s="199"/>
      <c r="K2" s="18"/>
      <c r="L2" s="18"/>
    </row>
    <row r="3" spans="1:12" s="20" customFormat="1" ht="14.45">
      <c r="A3" s="8"/>
      <c r="B3" s="8"/>
      <c r="C3" s="58"/>
      <c r="D3" s="9"/>
      <c r="E3" s="9"/>
      <c r="F3" s="18"/>
      <c r="G3" s="18"/>
      <c r="H3" s="18"/>
      <c r="I3" s="18"/>
      <c r="J3" s="18"/>
      <c r="K3" s="18"/>
      <c r="L3" s="18"/>
    </row>
    <row r="4" spans="1:12" s="20" customFormat="1" ht="20.100000000000001">
      <c r="A4" s="8"/>
      <c r="B4" s="8"/>
      <c r="C4" s="58"/>
      <c r="D4" s="9"/>
      <c r="E4" s="9"/>
      <c r="F4" s="194" t="s">
        <v>18</v>
      </c>
      <c r="G4" s="194"/>
      <c r="H4" s="194"/>
      <c r="I4" s="194"/>
      <c r="J4" s="194"/>
      <c r="K4" s="194"/>
      <c r="L4" s="194"/>
    </row>
    <row r="5" spans="1:12" s="20" customFormat="1" ht="14.45">
      <c r="A5" s="8"/>
      <c r="B5" s="8"/>
      <c r="C5" s="58"/>
      <c r="D5" s="9"/>
      <c r="E5" s="9"/>
      <c r="F5" s="18"/>
      <c r="G5" s="18"/>
      <c r="H5" s="18"/>
      <c r="I5" s="18"/>
      <c r="J5" s="18"/>
      <c r="K5" s="18"/>
      <c r="L5" s="18"/>
    </row>
    <row r="6" spans="1:12" s="20" customFormat="1" ht="14.45">
      <c r="A6" s="8"/>
      <c r="B6" s="8"/>
      <c r="C6" s="58"/>
      <c r="D6" s="200" t="s">
        <v>19</v>
      </c>
      <c r="E6" s="54"/>
      <c r="F6" s="59" t="s">
        <v>20</v>
      </c>
      <c r="G6" s="39"/>
      <c r="H6" s="39"/>
      <c r="I6" s="39"/>
      <c r="J6" s="40"/>
      <c r="K6" s="40"/>
      <c r="L6" s="40"/>
    </row>
    <row r="7" spans="1:12" customFormat="1" ht="14.45">
      <c r="A7" s="8"/>
      <c r="B7" s="8"/>
      <c r="C7" s="58"/>
      <c r="D7" s="200"/>
      <c r="E7" s="54"/>
      <c r="F7" s="44" t="s">
        <v>21</v>
      </c>
      <c r="G7" s="44" t="s">
        <v>22</v>
      </c>
      <c r="H7" s="44" t="s">
        <v>23</v>
      </c>
      <c r="I7" s="76"/>
      <c r="J7" s="77"/>
      <c r="K7" s="77"/>
      <c r="L7" s="78" t="s">
        <v>24</v>
      </c>
    </row>
    <row r="8" spans="1:12" s="20" customFormat="1" ht="22.5" customHeight="1">
      <c r="A8" s="8"/>
      <c r="B8" s="8"/>
      <c r="C8" s="58"/>
      <c r="D8" s="200"/>
      <c r="E8" s="54"/>
      <c r="F8" s="15" t="s">
        <v>25</v>
      </c>
      <c r="G8" s="21" t="s">
        <v>26</v>
      </c>
      <c r="H8" s="42">
        <f>K18*52</f>
        <v>104000</v>
      </c>
      <c r="I8" s="51" t="s">
        <v>27</v>
      </c>
      <c r="J8" s="52"/>
      <c r="K8" s="52"/>
      <c r="L8" s="53"/>
    </row>
    <row r="9" spans="1:12" s="20" customFormat="1" ht="14.45">
      <c r="A9" s="8"/>
      <c r="B9" s="8"/>
      <c r="C9" s="58"/>
      <c r="D9" s="9"/>
      <c r="E9" s="9"/>
      <c r="F9" s="18"/>
      <c r="G9" s="18"/>
      <c r="H9" s="18"/>
      <c r="I9" s="18"/>
      <c r="J9" s="18"/>
      <c r="K9" s="18"/>
      <c r="L9" s="18"/>
    </row>
    <row r="10" spans="1:12" s="20" customFormat="1" ht="14.45">
      <c r="A10" s="8"/>
      <c r="B10" s="8"/>
      <c r="C10" s="58"/>
      <c r="D10" s="201" t="s">
        <v>28</v>
      </c>
      <c r="E10" s="9"/>
      <c r="F10" s="59" t="s">
        <v>29</v>
      </c>
      <c r="G10" s="39"/>
      <c r="H10" s="39"/>
      <c r="I10" s="39"/>
      <c r="J10" s="40"/>
      <c r="K10" s="40"/>
      <c r="L10" s="40"/>
    </row>
    <row r="11" spans="1:12" s="20" customFormat="1" ht="14.45">
      <c r="A11" s="8"/>
      <c r="B11" s="8"/>
      <c r="C11" s="58"/>
      <c r="D11" s="202"/>
      <c r="E11" s="9"/>
      <c r="F11" s="44" t="s">
        <v>30</v>
      </c>
      <c r="G11" s="44" t="s">
        <v>23</v>
      </c>
      <c r="H11" s="76" t="s">
        <v>24</v>
      </c>
      <c r="I11" s="77"/>
      <c r="J11" s="77"/>
      <c r="K11" s="77"/>
      <c r="L11" s="78"/>
    </row>
    <row r="12" spans="1:12" s="20" customFormat="1" ht="14.45">
      <c r="A12" s="8"/>
      <c r="B12" s="8"/>
      <c r="C12" s="58"/>
      <c r="D12" s="202"/>
      <c r="E12" s="9"/>
      <c r="F12" s="21" t="s">
        <v>31</v>
      </c>
      <c r="G12" s="23">
        <v>1500</v>
      </c>
      <c r="H12" s="109"/>
      <c r="I12" s="35"/>
      <c r="J12" s="35"/>
      <c r="K12" s="34"/>
      <c r="L12" s="38"/>
    </row>
    <row r="13" spans="1:12" s="20" customFormat="1" ht="14.45">
      <c r="A13" s="8"/>
      <c r="B13" s="8"/>
      <c r="C13" s="58"/>
      <c r="D13" s="202"/>
      <c r="E13" s="9"/>
      <c r="F13" s="21" t="s">
        <v>32</v>
      </c>
      <c r="G13" s="23">
        <v>52</v>
      </c>
      <c r="H13" s="109"/>
      <c r="I13" s="35"/>
      <c r="J13" s="35"/>
      <c r="K13" s="34"/>
      <c r="L13" s="38"/>
    </row>
    <row r="14" spans="1:12" s="20" customFormat="1" ht="14.45">
      <c r="A14" s="8"/>
      <c r="B14" s="8"/>
      <c r="C14" s="58"/>
      <c r="D14" s="202"/>
      <c r="E14" s="9"/>
      <c r="F14" s="21" t="s">
        <v>33</v>
      </c>
      <c r="G14" s="23">
        <v>2000</v>
      </c>
      <c r="H14" s="109">
        <f>0.5*G14</f>
        <v>1000</v>
      </c>
      <c r="I14" s="60" t="s">
        <v>34</v>
      </c>
      <c r="J14" s="214" t="s">
        <v>35</v>
      </c>
      <c r="K14" s="215"/>
      <c r="L14" s="216"/>
    </row>
    <row r="15" spans="1:12" s="20" customFormat="1" ht="14.45">
      <c r="A15" s="8"/>
      <c r="B15" s="8"/>
      <c r="C15" s="58"/>
      <c r="D15" s="202"/>
      <c r="E15" s="9"/>
      <c r="F15" s="21" t="s">
        <v>36</v>
      </c>
      <c r="G15" s="23">
        <v>400</v>
      </c>
      <c r="H15" s="109">
        <f>0.75*G15</f>
        <v>300</v>
      </c>
      <c r="I15" s="129" t="s">
        <v>34</v>
      </c>
      <c r="J15" s="217"/>
      <c r="K15" s="218"/>
      <c r="L15" s="219"/>
    </row>
    <row r="16" spans="1:12" s="20" customFormat="1" ht="14.45">
      <c r="A16" s="8"/>
      <c r="B16" s="8"/>
      <c r="C16" s="58"/>
      <c r="D16" s="202"/>
      <c r="E16" s="9"/>
      <c r="F16" s="21" t="s">
        <v>37</v>
      </c>
      <c r="G16" s="23">
        <v>700</v>
      </c>
      <c r="H16" s="109">
        <f>1*G16</f>
        <v>700</v>
      </c>
      <c r="I16" t="s">
        <v>34</v>
      </c>
      <c r="J16" s="160">
        <f>H14+H15+H16</f>
        <v>2000</v>
      </c>
      <c r="K16" s="21" t="s">
        <v>38</v>
      </c>
      <c r="L16" s="161" t="str">
        <f>IF(J16=K18,"","check this totals figure in cell K18")</f>
        <v/>
      </c>
    </row>
    <row r="17" spans="1:12" s="20" customFormat="1" ht="14.45">
      <c r="A17" s="8"/>
      <c r="B17" s="8"/>
      <c r="C17" s="58"/>
      <c r="D17" s="202"/>
      <c r="E17" s="9"/>
      <c r="F17" s="21" t="s">
        <v>39</v>
      </c>
      <c r="G17" s="23">
        <v>10</v>
      </c>
      <c r="H17" s="81"/>
      <c r="I17" s="35"/>
      <c r="J17" s="35"/>
      <c r="K17" s="34"/>
      <c r="L17" s="38"/>
    </row>
    <row r="18" spans="1:12" s="20" customFormat="1" ht="14.45">
      <c r="A18" s="8"/>
      <c r="B18" s="8"/>
      <c r="C18" s="58"/>
      <c r="D18" s="202"/>
      <c r="E18" s="9"/>
      <c r="F18" s="21" t="s">
        <v>40</v>
      </c>
      <c r="G18" s="23">
        <v>25</v>
      </c>
      <c r="H18" s="115">
        <f>G18*G22</f>
        <v>1000</v>
      </c>
      <c r="I18" s="35" t="s">
        <v>41</v>
      </c>
      <c r="J18" s="35"/>
      <c r="K18" s="210">
        <f>H18+H19</f>
        <v>2000</v>
      </c>
      <c r="L18" s="212" t="s">
        <v>42</v>
      </c>
    </row>
    <row r="19" spans="1:12" s="20" customFormat="1" ht="14.45">
      <c r="A19" s="8"/>
      <c r="B19" s="8"/>
      <c r="C19" s="58"/>
      <c r="D19" s="202"/>
      <c r="E19" s="9"/>
      <c r="F19" s="21" t="s">
        <v>43</v>
      </c>
      <c r="G19" s="23">
        <f>IF(G23&gt;0,25,0)</f>
        <v>25</v>
      </c>
      <c r="H19" s="115">
        <f>G19*G23</f>
        <v>1000</v>
      </c>
      <c r="I19" s="35" t="s">
        <v>44</v>
      </c>
      <c r="J19" s="35"/>
      <c r="K19" s="211"/>
      <c r="L19" s="213"/>
    </row>
    <row r="20" spans="1:12" s="20" customFormat="1" ht="14.45">
      <c r="A20" s="8"/>
      <c r="B20" s="8"/>
      <c r="C20" s="58"/>
      <c r="D20" s="202"/>
      <c r="E20" s="9"/>
      <c r="F20" s="21" t="s">
        <v>45</v>
      </c>
      <c r="G20" s="75">
        <v>0.5</v>
      </c>
      <c r="H20" t="s">
        <v>46</v>
      </c>
      <c r="I20" s="35"/>
      <c r="J20" s="35"/>
      <c r="K20" s="34"/>
      <c r="L20" s="38"/>
    </row>
    <row r="21" spans="1:12" s="20" customFormat="1" ht="14.45">
      <c r="A21" s="8"/>
      <c r="B21" s="8"/>
      <c r="C21" s="58"/>
      <c r="D21" s="202"/>
      <c r="E21" s="9"/>
      <c r="F21" s="21" t="s">
        <v>47</v>
      </c>
      <c r="G21" s="75">
        <v>0.1</v>
      </c>
      <c r="H21" s="81"/>
      <c r="I21" s="35"/>
      <c r="J21" s="35"/>
      <c r="K21" s="34"/>
      <c r="L21" s="38"/>
    </row>
    <row r="22" spans="1:12" s="20" customFormat="1" ht="14.45">
      <c r="A22" s="8"/>
      <c r="B22" s="8"/>
      <c r="C22" s="58"/>
      <c r="D22" s="202"/>
      <c r="E22" s="9"/>
      <c r="F22" s="21" t="s">
        <v>48</v>
      </c>
      <c r="G22" s="23">
        <v>40</v>
      </c>
      <c r="H22" s="81"/>
      <c r="I22" s="35"/>
      <c r="J22" s="35"/>
      <c r="K22" s="34"/>
      <c r="L22" s="38"/>
    </row>
    <row r="23" spans="1:12" s="20" customFormat="1" ht="14.45">
      <c r="A23" s="8"/>
      <c r="B23" s="8"/>
      <c r="C23" s="58"/>
      <c r="D23" s="202"/>
      <c r="E23" s="9"/>
      <c r="F23" s="21" t="s">
        <v>49</v>
      </c>
      <c r="G23" s="23">
        <v>40</v>
      </c>
      <c r="H23" s="109" t="s">
        <v>50</v>
      </c>
      <c r="I23" s="35"/>
      <c r="J23" s="35"/>
      <c r="K23" s="34"/>
      <c r="L23" s="38"/>
    </row>
    <row r="24" spans="1:12" s="20" customFormat="1" ht="14.45">
      <c r="A24" s="8"/>
      <c r="B24" s="8"/>
      <c r="C24" s="58"/>
      <c r="D24" s="202"/>
      <c r="E24" s="9"/>
      <c r="F24" s="21" t="s">
        <v>51</v>
      </c>
      <c r="G24" s="21">
        <f>G23+G22</f>
        <v>80</v>
      </c>
      <c r="H24" t="s">
        <v>52</v>
      </c>
      <c r="I24" s="35"/>
      <c r="J24" s="35"/>
      <c r="K24" s="34"/>
      <c r="L24" s="38"/>
    </row>
    <row r="25" spans="1:12" s="20" customFormat="1" ht="14.45">
      <c r="A25" s="8"/>
      <c r="B25" s="8"/>
      <c r="C25" s="58"/>
      <c r="D25" s="202"/>
      <c r="E25" s="9"/>
      <c r="F25" s="21" t="s">
        <v>53</v>
      </c>
      <c r="G25" s="23">
        <f>G12/G17</f>
        <v>150</v>
      </c>
      <c r="H25" s="81"/>
      <c r="I25" s="35"/>
      <c r="J25" s="35"/>
      <c r="K25" s="34"/>
      <c r="L25" s="38"/>
    </row>
    <row r="26" spans="1:12" s="20" customFormat="1" ht="14.45">
      <c r="A26" s="8"/>
      <c r="B26" s="8"/>
      <c r="C26" s="58"/>
      <c r="D26" s="202"/>
      <c r="E26" s="9"/>
      <c r="F26" s="21" t="s">
        <v>54</v>
      </c>
      <c r="G26" s="41">
        <v>2000</v>
      </c>
      <c r="H26" s="81"/>
      <c r="I26" s="35"/>
      <c r="J26" s="35"/>
      <c r="K26" s="34"/>
      <c r="L26" s="38"/>
    </row>
    <row r="27" spans="1:12" s="20" customFormat="1" ht="14.45">
      <c r="A27" s="8"/>
      <c r="B27" s="8"/>
      <c r="C27" s="58"/>
      <c r="D27" s="202"/>
      <c r="E27" s="9"/>
      <c r="F27" s="21" t="s">
        <v>55</v>
      </c>
      <c r="G27" s="23">
        <v>4</v>
      </c>
      <c r="H27" s="109" t="s">
        <v>56</v>
      </c>
      <c r="I27" s="35"/>
      <c r="J27" s="35"/>
      <c r="K27" s="34"/>
      <c r="L27" s="38"/>
    </row>
    <row r="28" spans="1:12" s="20" customFormat="1" ht="14.45">
      <c r="A28" s="8"/>
      <c r="B28" s="8"/>
      <c r="C28" s="58"/>
      <c r="D28" s="202"/>
      <c r="E28" s="9"/>
      <c r="F28" s="21" t="s">
        <v>57</v>
      </c>
      <c r="G28" s="23">
        <v>4</v>
      </c>
      <c r="H28" s="109" t="s">
        <v>56</v>
      </c>
      <c r="I28" s="35"/>
      <c r="J28" s="35"/>
      <c r="K28" s="34"/>
      <c r="L28" s="38"/>
    </row>
    <row r="29" spans="1:12" s="20" customFormat="1" ht="14.45">
      <c r="A29" s="8"/>
      <c r="B29" s="8"/>
      <c r="C29" s="58"/>
      <c r="D29" s="202"/>
      <c r="E29" s="9"/>
      <c r="F29" s="21" t="s">
        <v>58</v>
      </c>
      <c r="G29" s="23">
        <v>1.5</v>
      </c>
      <c r="H29" s="109" t="s">
        <v>59</v>
      </c>
      <c r="I29" s="35"/>
      <c r="J29" s="35"/>
      <c r="K29" s="34"/>
      <c r="L29" s="38"/>
    </row>
    <row r="30" spans="1:12" s="20" customFormat="1" ht="14.45">
      <c r="A30" s="8"/>
      <c r="B30" s="8"/>
      <c r="C30" s="58"/>
      <c r="D30" s="202"/>
      <c r="E30" s="9"/>
      <c r="F30" s="21" t="s">
        <v>60</v>
      </c>
      <c r="G30" s="127">
        <v>2.2000000000000002</v>
      </c>
      <c r="H30" s="109" t="s">
        <v>61</v>
      </c>
      <c r="I30" s="35"/>
      <c r="J30" s="35"/>
      <c r="K30" s="34"/>
      <c r="L30" s="38"/>
    </row>
    <row r="31" spans="1:12" s="20" customFormat="1" ht="14.45">
      <c r="A31" s="8"/>
      <c r="B31" s="8"/>
      <c r="C31" s="58"/>
      <c r="D31" s="203"/>
      <c r="E31" s="9"/>
      <c r="F31" s="21" t="s">
        <v>62</v>
      </c>
      <c r="G31" s="41">
        <f>50*G25</f>
        <v>7500</v>
      </c>
      <c r="H31" s="109" t="s">
        <v>63</v>
      </c>
      <c r="I31" s="35"/>
      <c r="J31" s="35"/>
      <c r="K31" s="34"/>
      <c r="L31" s="38"/>
    </row>
    <row r="32" spans="1:12" s="20" customFormat="1" ht="14.45">
      <c r="A32" s="8"/>
      <c r="B32" s="8"/>
      <c r="C32" s="58"/>
      <c r="D32" s="54"/>
      <c r="E32" s="9"/>
      <c r="F32" s="16"/>
      <c r="G32" s="87"/>
      <c r="H32" s="16"/>
      <c r="I32" s="16"/>
      <c r="J32" s="16"/>
      <c r="K32" s="18"/>
      <c r="L32" s="18"/>
    </row>
    <row r="33" spans="1:13" s="20" customFormat="1" ht="14.45">
      <c r="A33" s="8"/>
      <c r="B33" s="8"/>
      <c r="C33" s="58"/>
      <c r="D33" s="54"/>
      <c r="E33" s="9"/>
      <c r="F33" s="16"/>
      <c r="G33" s="87"/>
      <c r="H33" s="16"/>
      <c r="I33" s="16"/>
      <c r="J33" s="19"/>
      <c r="K33" s="18"/>
      <c r="L33" s="18"/>
    </row>
    <row r="34" spans="1:13" customFormat="1" ht="15" customHeight="1">
      <c r="A34" s="8"/>
      <c r="B34" s="8"/>
      <c r="C34" s="58"/>
      <c r="D34" s="9"/>
      <c r="E34" s="9"/>
      <c r="F34" s="59" t="s">
        <v>64</v>
      </c>
      <c r="G34" s="39"/>
      <c r="H34" s="39"/>
      <c r="I34" s="39"/>
      <c r="J34" s="40"/>
      <c r="K34" s="40"/>
      <c r="L34" s="40"/>
    </row>
    <row r="35" spans="1:13" s="20" customFormat="1" ht="15" customHeight="1">
      <c r="A35" s="8" t="s">
        <v>65</v>
      </c>
      <c r="B35" s="8"/>
      <c r="C35" s="58"/>
      <c r="D35" s="200" t="s">
        <v>66</v>
      </c>
      <c r="E35" s="9"/>
      <c r="F35" s="44" t="s">
        <v>21</v>
      </c>
      <c r="G35" s="44" t="s">
        <v>22</v>
      </c>
      <c r="H35" s="44" t="s">
        <v>67</v>
      </c>
      <c r="I35" s="62" t="s">
        <v>68</v>
      </c>
      <c r="J35" s="71" t="s">
        <v>69</v>
      </c>
      <c r="K35" s="74"/>
      <c r="L35" s="135" t="s">
        <v>70</v>
      </c>
    </row>
    <row r="36" spans="1:13" customFormat="1" ht="15" customHeight="1">
      <c r="A36" s="8"/>
      <c r="B36" s="8"/>
      <c r="C36" s="58"/>
      <c r="D36" s="200"/>
      <c r="E36" s="9"/>
      <c r="F36" s="46" t="s">
        <v>71</v>
      </c>
      <c r="G36" s="47"/>
      <c r="H36" s="47"/>
      <c r="I36" s="47"/>
      <c r="J36" s="72"/>
      <c r="K36" s="107"/>
      <c r="L36" s="7"/>
    </row>
    <row r="37" spans="1:13" customFormat="1" ht="14.45">
      <c r="A37" s="8"/>
      <c r="B37" s="8"/>
      <c r="C37" s="58"/>
      <c r="D37" s="200"/>
      <c r="E37" s="9"/>
      <c r="F37" s="23" t="s">
        <v>72</v>
      </c>
      <c r="G37" s="97" t="s">
        <v>73</v>
      </c>
      <c r="H37" s="41">
        <f>20000</f>
        <v>20000</v>
      </c>
      <c r="I37" s="41">
        <f>(H37)*(1+H70+H71+H72)*(1+H77+H78)</f>
        <v>25529.280000000002</v>
      </c>
      <c r="J37" s="24">
        <f>(I37/52)/37.5</f>
        <v>13.091938461538463</v>
      </c>
      <c r="K37" s="61" t="s">
        <v>74</v>
      </c>
      <c r="L37" s="92"/>
    </row>
    <row r="38" spans="1:13" customFormat="1" ht="15" customHeight="1">
      <c r="A38" s="8"/>
      <c r="B38" s="8"/>
      <c r="C38" s="58"/>
      <c r="D38" s="200"/>
      <c r="E38" s="9"/>
      <c r="F38" s="23" t="s">
        <v>75</v>
      </c>
      <c r="G38" s="104" t="s">
        <v>73</v>
      </c>
      <c r="H38" s="41">
        <f>28000</f>
        <v>28000</v>
      </c>
      <c r="I38" s="41">
        <f>(H38)*(1+H70+H71+H72)*(1+H77+H78)</f>
        <v>35740.991999999998</v>
      </c>
      <c r="J38" s="24">
        <f>(I38/52)/37.5</f>
        <v>18.328713846153846</v>
      </c>
      <c r="K38" s="61" t="s">
        <v>76</v>
      </c>
      <c r="L38" s="92"/>
    </row>
    <row r="39" spans="1:13" customFormat="1" ht="15" customHeight="1">
      <c r="A39" s="8"/>
      <c r="B39" s="8"/>
      <c r="C39" s="58"/>
      <c r="D39" s="200"/>
      <c r="E39" s="9"/>
      <c r="F39" s="23" t="s">
        <v>77</v>
      </c>
      <c r="G39" s="104" t="s">
        <v>73</v>
      </c>
      <c r="H39" s="41">
        <f>23000</f>
        <v>23000</v>
      </c>
      <c r="I39" s="41">
        <f>(H39)*(1+H70+H71+H72)*(1+H77+H78)</f>
        <v>29358.672000000002</v>
      </c>
      <c r="J39" s="24">
        <f>(I39/52)/37.5</f>
        <v>15.055729230769233</v>
      </c>
      <c r="K39" s="61" t="s">
        <v>78</v>
      </c>
      <c r="L39" s="92"/>
      <c r="M39" s="20"/>
    </row>
    <row r="40" spans="1:13" customFormat="1" ht="15" customHeight="1">
      <c r="A40" s="8"/>
      <c r="B40" s="8"/>
      <c r="C40" s="58"/>
      <c r="D40" s="200"/>
      <c r="E40" s="9"/>
      <c r="F40" s="23" t="s">
        <v>79</v>
      </c>
      <c r="G40" s="104" t="s">
        <v>73</v>
      </c>
      <c r="H40" s="41">
        <f>20000</f>
        <v>20000</v>
      </c>
      <c r="I40" s="41">
        <f>(H40)*(1+H70+H71+H72)*(1+H77+H78)</f>
        <v>25529.280000000002</v>
      </c>
      <c r="J40" s="24">
        <f>(I40/52)/37.5</f>
        <v>13.091938461538463</v>
      </c>
      <c r="K40" s="61" t="s">
        <v>74</v>
      </c>
      <c r="L40" s="92"/>
    </row>
    <row r="41" spans="1:13" customFormat="1" ht="15" customHeight="1">
      <c r="A41" s="8"/>
      <c r="B41" s="8"/>
      <c r="C41" s="58"/>
      <c r="D41" s="200"/>
      <c r="E41" s="9"/>
      <c r="F41" s="98" t="s">
        <v>80</v>
      </c>
      <c r="G41" s="104" t="s">
        <v>73</v>
      </c>
      <c r="H41" s="142">
        <v>0</v>
      </c>
      <c r="I41" s="41">
        <f>(H41)*(1+H70+H71+H72)*(1+H77+H78)</f>
        <v>0</v>
      </c>
      <c r="J41" s="24">
        <f>(I41/52)/37.5</f>
        <v>0</v>
      </c>
      <c r="K41" s="140"/>
      <c r="L41" s="92"/>
    </row>
    <row r="42" spans="1:13" customFormat="1" ht="15" customHeight="1">
      <c r="A42" s="8"/>
      <c r="B42" s="8"/>
      <c r="C42" s="58"/>
      <c r="D42" s="200"/>
      <c r="E42" s="9"/>
      <c r="F42" s="32" t="s">
        <v>81</v>
      </c>
      <c r="G42" s="34"/>
      <c r="H42" s="34"/>
      <c r="I42" s="138">
        <f>SUM(I37:I41)</f>
        <v>116158.224</v>
      </c>
      <c r="J42" s="57"/>
      <c r="K42" s="57"/>
      <c r="L42" s="43"/>
    </row>
    <row r="43" spans="1:13" customFormat="1" ht="15" customHeight="1">
      <c r="A43" s="8"/>
      <c r="B43" s="8"/>
      <c r="C43" s="58"/>
      <c r="D43" s="93"/>
      <c r="E43" s="9"/>
      <c r="F43" s="18"/>
      <c r="G43" s="18"/>
      <c r="H43" s="18"/>
      <c r="I43" s="18"/>
      <c r="J43" s="18"/>
      <c r="K43" s="105"/>
      <c r="L43" s="105"/>
    </row>
    <row r="44" spans="1:13" customFormat="1" ht="15" customHeight="1">
      <c r="A44" s="8"/>
      <c r="B44" s="8"/>
      <c r="C44" s="58"/>
      <c r="D44" s="201" t="s">
        <v>82</v>
      </c>
      <c r="E44" s="9"/>
      <c r="F44" s="46" t="s">
        <v>83</v>
      </c>
      <c r="G44" s="47"/>
      <c r="H44" s="47"/>
      <c r="I44" s="47"/>
      <c r="J44" s="47"/>
      <c r="K44" s="108"/>
      <c r="L44" s="106"/>
    </row>
    <row r="45" spans="1:13" customFormat="1" ht="15" customHeight="1">
      <c r="A45" s="8"/>
      <c r="B45" s="8"/>
      <c r="C45" s="58"/>
      <c r="D45" s="202"/>
      <c r="E45" s="9"/>
      <c r="F45" s="98" t="s">
        <v>84</v>
      </c>
      <c r="G45" s="100"/>
      <c r="H45" s="99"/>
      <c r="I45" s="41">
        <v>20000</v>
      </c>
      <c r="J45" s="137" t="s">
        <v>85</v>
      </c>
      <c r="K45" s="61" t="s">
        <v>86</v>
      </c>
      <c r="L45" s="92"/>
    </row>
    <row r="46" spans="1:13" customFormat="1" ht="15" customHeight="1">
      <c r="A46" s="8"/>
      <c r="B46" s="8"/>
      <c r="C46" s="58"/>
      <c r="D46" s="202"/>
      <c r="E46" s="9"/>
      <c r="F46" s="98" t="s">
        <v>87</v>
      </c>
      <c r="G46" s="100"/>
      <c r="H46" s="99"/>
      <c r="I46" s="41">
        <v>2000</v>
      </c>
      <c r="J46" s="137" t="s">
        <v>85</v>
      </c>
      <c r="K46" s="61" t="s">
        <v>88</v>
      </c>
      <c r="L46" s="92"/>
    </row>
    <row r="47" spans="1:13" customFormat="1" ht="15" customHeight="1">
      <c r="A47" s="8"/>
      <c r="B47" s="8"/>
      <c r="C47" s="58"/>
      <c r="D47" s="202"/>
      <c r="E47" s="9"/>
      <c r="F47" s="98" t="s">
        <v>89</v>
      </c>
      <c r="G47" s="100"/>
      <c r="H47" s="103"/>
      <c r="I47" s="102">
        <v>15000</v>
      </c>
      <c r="J47" s="137" t="s">
        <v>85</v>
      </c>
      <c r="K47" s="61" t="s">
        <v>90</v>
      </c>
      <c r="L47" s="92"/>
    </row>
    <row r="48" spans="1:13" customFormat="1" ht="15" customHeight="1">
      <c r="A48" s="8"/>
      <c r="B48" s="8"/>
      <c r="C48" s="58"/>
      <c r="D48" s="202"/>
      <c r="E48" s="9"/>
      <c r="F48" s="98" t="s">
        <v>91</v>
      </c>
      <c r="G48" s="100"/>
      <c r="H48" s="103"/>
      <c r="I48" s="102">
        <v>10000</v>
      </c>
      <c r="J48" s="137" t="s">
        <v>85</v>
      </c>
      <c r="K48" s="61"/>
      <c r="L48" s="92"/>
    </row>
    <row r="49" spans="1:12" customFormat="1" ht="15" customHeight="1">
      <c r="A49" s="8"/>
      <c r="B49" s="8"/>
      <c r="C49" s="58"/>
      <c r="D49" s="202"/>
      <c r="E49" s="9"/>
      <c r="F49" s="98" t="s">
        <v>92</v>
      </c>
      <c r="G49" s="100"/>
      <c r="H49" s="103"/>
      <c r="I49" s="102">
        <v>2000</v>
      </c>
      <c r="J49" s="137" t="s">
        <v>85</v>
      </c>
      <c r="K49" s="61"/>
      <c r="L49" s="92"/>
    </row>
    <row r="50" spans="1:12" customFormat="1" ht="15" customHeight="1">
      <c r="A50" s="8"/>
      <c r="B50" s="8"/>
      <c r="C50" s="58"/>
      <c r="D50" s="202"/>
      <c r="E50" s="9"/>
      <c r="F50" s="98" t="s">
        <v>93</v>
      </c>
      <c r="G50" s="100"/>
      <c r="H50" s="103"/>
      <c r="I50" s="102">
        <v>10000</v>
      </c>
      <c r="J50" s="137" t="s">
        <v>85</v>
      </c>
      <c r="K50" s="61"/>
      <c r="L50" s="92"/>
    </row>
    <row r="51" spans="1:12" customFormat="1" ht="15" customHeight="1">
      <c r="A51" s="8"/>
      <c r="B51" s="8"/>
      <c r="C51" s="58"/>
      <c r="D51" s="202"/>
      <c r="E51" s="9"/>
      <c r="F51" s="98" t="s">
        <v>94</v>
      </c>
      <c r="G51" s="100"/>
      <c r="H51" s="103"/>
      <c r="I51" s="102">
        <f>1*G25</f>
        <v>150</v>
      </c>
      <c r="J51" s="137" t="s">
        <v>85</v>
      </c>
      <c r="K51" s="61" t="s">
        <v>95</v>
      </c>
      <c r="L51" s="92"/>
    </row>
    <row r="52" spans="1:12" customFormat="1" ht="15" customHeight="1">
      <c r="A52" s="8"/>
      <c r="B52" s="8"/>
      <c r="C52" s="58"/>
      <c r="D52" s="202"/>
      <c r="E52" s="9"/>
      <c r="F52" s="98" t="s">
        <v>96</v>
      </c>
      <c r="G52" s="100"/>
      <c r="H52" s="103"/>
      <c r="I52" s="102">
        <v>0</v>
      </c>
      <c r="J52" s="137" t="s">
        <v>85</v>
      </c>
      <c r="K52" s="61"/>
      <c r="L52" s="92"/>
    </row>
    <row r="53" spans="1:12" customFormat="1" ht="15" customHeight="1">
      <c r="A53" s="8"/>
      <c r="B53" s="8"/>
      <c r="C53" s="58"/>
      <c r="D53" s="203"/>
      <c r="E53" s="9"/>
      <c r="F53" s="32" t="s">
        <v>81</v>
      </c>
      <c r="G53" s="34"/>
      <c r="H53" s="34"/>
      <c r="I53" s="138">
        <f>SUM(I45:I52)</f>
        <v>59150</v>
      </c>
      <c r="J53" s="57"/>
      <c r="K53" s="57"/>
      <c r="L53" s="43"/>
    </row>
    <row r="54" spans="1:12" s="20" customFormat="1" ht="14.45">
      <c r="A54" s="8"/>
      <c r="B54" s="8"/>
      <c r="C54" s="58"/>
      <c r="D54" s="54"/>
      <c r="E54" s="9"/>
      <c r="F54" s="16"/>
      <c r="G54" s="87"/>
      <c r="H54" s="16"/>
      <c r="I54" s="16"/>
      <c r="J54" s="19"/>
      <c r="K54" s="18"/>
      <c r="L54" s="18"/>
    </row>
    <row r="55" spans="1:12" s="20" customFormat="1" ht="14.45">
      <c r="A55" s="8"/>
      <c r="B55" s="8"/>
      <c r="C55" s="58"/>
      <c r="D55" s="54"/>
      <c r="E55" s="9"/>
      <c r="F55" s="117" t="s">
        <v>97</v>
      </c>
      <c r="G55" s="118"/>
      <c r="H55" s="119"/>
      <c r="I55" s="120">
        <f>I53+I42</f>
        <v>175308.22399999999</v>
      </c>
      <c r="J55" s="19"/>
      <c r="K55" s="18"/>
      <c r="L55" s="18"/>
    </row>
    <row r="56" spans="1:12" s="20" customFormat="1" ht="14.45">
      <c r="A56" s="8"/>
      <c r="B56" s="8"/>
      <c r="C56" s="58"/>
      <c r="D56" s="54"/>
      <c r="E56" s="9"/>
      <c r="F56" s="16"/>
      <c r="G56" s="87"/>
      <c r="H56" s="16"/>
      <c r="I56" s="16"/>
      <c r="J56" s="19"/>
      <c r="K56" s="18"/>
      <c r="L56" s="18"/>
    </row>
    <row r="57" spans="1:12" s="20" customFormat="1" ht="14.45">
      <c r="A57" s="8"/>
      <c r="B57" s="8"/>
      <c r="C57" s="58"/>
      <c r="D57" s="9"/>
      <c r="E57" s="9"/>
      <c r="F57" s="18"/>
      <c r="G57" s="18"/>
      <c r="H57" s="18"/>
      <c r="I57" s="18"/>
      <c r="J57" s="18"/>
      <c r="K57" s="18"/>
      <c r="L57" s="18"/>
    </row>
    <row r="58" spans="1:12" s="20" customFormat="1" ht="15" customHeight="1">
      <c r="A58" s="8"/>
      <c r="B58" s="8"/>
      <c r="C58" s="58"/>
      <c r="D58" s="201" t="s">
        <v>98</v>
      </c>
      <c r="E58" s="9"/>
      <c r="F58" s="59" t="s">
        <v>99</v>
      </c>
      <c r="G58" s="39"/>
      <c r="H58" s="39"/>
      <c r="I58" s="39"/>
      <c r="J58" s="40"/>
      <c r="K58" s="39"/>
      <c r="L58" s="39"/>
    </row>
    <row r="59" spans="1:12" customFormat="1" ht="47.25" customHeight="1">
      <c r="A59" s="8"/>
      <c r="B59" s="8"/>
      <c r="C59" s="58"/>
      <c r="D59" s="202"/>
      <c r="E59" s="9"/>
      <c r="F59" s="132" t="s">
        <v>21</v>
      </c>
      <c r="G59" s="132" t="s">
        <v>22</v>
      </c>
      <c r="H59" s="132" t="s">
        <v>23</v>
      </c>
      <c r="I59" s="133" t="s">
        <v>100</v>
      </c>
      <c r="J59" s="134" t="s">
        <v>101</v>
      </c>
      <c r="K59" s="206" t="s">
        <v>24</v>
      </c>
      <c r="L59" s="207"/>
    </row>
    <row r="60" spans="1:12" customFormat="1" ht="14.45">
      <c r="A60" s="8"/>
      <c r="B60" s="8"/>
      <c r="C60" s="58"/>
      <c r="D60" s="202"/>
      <c r="E60" s="9"/>
      <c r="F60" s="45" t="s">
        <v>102</v>
      </c>
      <c r="G60" s="49"/>
      <c r="H60" s="49"/>
      <c r="I60" s="50"/>
      <c r="J60" s="50"/>
      <c r="K60" s="73"/>
      <c r="L60" s="79"/>
    </row>
    <row r="61" spans="1:12" customFormat="1" ht="15" customHeight="1">
      <c r="A61" s="8"/>
      <c r="B61" s="8"/>
      <c r="C61" s="58"/>
      <c r="D61" s="202"/>
      <c r="E61" s="9"/>
      <c r="F61" s="21" t="s">
        <v>103</v>
      </c>
      <c r="G61" s="21" t="s">
        <v>104</v>
      </c>
      <c r="H61" s="24">
        <v>8.2100000000000009</v>
      </c>
      <c r="I61" s="27">
        <v>8.2100000000000009</v>
      </c>
      <c r="J61" s="27">
        <f>H61</f>
        <v>8.2100000000000009</v>
      </c>
      <c r="K61" s="109" t="s">
        <v>105</v>
      </c>
      <c r="L61" s="60"/>
    </row>
    <row r="62" spans="1:12" customFormat="1" ht="15" customHeight="1">
      <c r="A62" s="8"/>
      <c r="B62" s="8"/>
      <c r="C62" s="58"/>
      <c r="D62" s="202"/>
      <c r="E62" s="9"/>
      <c r="F62" s="21" t="s">
        <v>106</v>
      </c>
      <c r="G62" s="21" t="s">
        <v>107</v>
      </c>
      <c r="H62" s="30">
        <v>7.4999999999999997E-2</v>
      </c>
      <c r="I62" s="27">
        <f>I61*H62</f>
        <v>0.61575000000000002</v>
      </c>
      <c r="J62" s="28">
        <f>(J61*H62)</f>
        <v>0.61575000000000002</v>
      </c>
      <c r="K62" s="109" t="s">
        <v>108</v>
      </c>
      <c r="L62" s="60"/>
    </row>
    <row r="63" spans="1:12" customFormat="1" ht="15" customHeight="1">
      <c r="A63" s="8"/>
      <c r="B63" s="8"/>
      <c r="C63" s="58"/>
      <c r="D63" s="202"/>
      <c r="E63" s="9"/>
      <c r="F63" s="21" t="s">
        <v>109</v>
      </c>
      <c r="G63" s="21" t="s">
        <v>107</v>
      </c>
      <c r="H63" s="30">
        <v>0.25</v>
      </c>
      <c r="I63" s="27">
        <f>I61*H63</f>
        <v>2.0525000000000002</v>
      </c>
      <c r="J63" s="28">
        <f>(J61*H63)</f>
        <v>2.0525000000000002</v>
      </c>
      <c r="K63" s="109" t="s">
        <v>110</v>
      </c>
      <c r="L63" s="60"/>
    </row>
    <row r="64" spans="1:12" customFormat="1" ht="15" customHeight="1">
      <c r="A64" s="8"/>
      <c r="B64" s="8"/>
      <c r="C64" s="58"/>
      <c r="D64" s="202"/>
      <c r="E64" s="9"/>
      <c r="F64" s="23" t="s">
        <v>96</v>
      </c>
      <c r="G64" s="23"/>
      <c r="H64" s="30"/>
      <c r="I64" s="24">
        <v>0</v>
      </c>
      <c r="J64" s="24">
        <v>0</v>
      </c>
      <c r="K64" s="82"/>
      <c r="L64" s="80"/>
    </row>
    <row r="65" spans="1:19" customFormat="1" ht="15" customHeight="1">
      <c r="A65" s="8"/>
      <c r="B65" s="8"/>
      <c r="C65" s="58"/>
      <c r="D65" s="203"/>
      <c r="E65" s="54"/>
      <c r="F65" s="32" t="s">
        <v>111</v>
      </c>
      <c r="G65" s="37"/>
      <c r="H65" s="36"/>
      <c r="I65" s="139">
        <f>((8*I63*7.5)+(52*2*I62*7.5)+((365-8-(52*2))*I61*7.5))/(G13*37.5)</f>
        <v>8.2984153846153852</v>
      </c>
      <c r="J65" s="139">
        <f>((8*J63*7.5)+(52*2*J62*7.5)+((365-8-(52*2))*J61*7.5))/(G13*37.5)</f>
        <v>8.2984153846153852</v>
      </c>
      <c r="K65" s="109" t="s">
        <v>112</v>
      </c>
      <c r="L65" s="60"/>
    </row>
    <row r="66" spans="1:19" customFormat="1" ht="15" customHeight="1">
      <c r="A66" s="8"/>
      <c r="B66" s="8"/>
      <c r="C66" s="58"/>
      <c r="D66" s="9"/>
      <c r="E66" s="9"/>
      <c r="F66" s="34"/>
      <c r="G66" s="34"/>
      <c r="H66" s="34"/>
      <c r="I66" s="35"/>
      <c r="J66" s="35"/>
      <c r="K66" s="17"/>
    </row>
    <row r="67" spans="1:19" customFormat="1" ht="15" customHeight="1">
      <c r="A67" s="8"/>
      <c r="B67" s="8"/>
      <c r="C67" s="58"/>
      <c r="D67" s="200" t="s">
        <v>113</v>
      </c>
      <c r="E67" s="9"/>
      <c r="F67" s="46" t="s">
        <v>114</v>
      </c>
      <c r="G67" s="47"/>
      <c r="H67" s="47"/>
      <c r="I67" s="48"/>
      <c r="J67" s="48"/>
      <c r="K67" s="83"/>
      <c r="L67" s="79"/>
    </row>
    <row r="68" spans="1:19" customFormat="1" ht="15" customHeight="1">
      <c r="A68" s="8"/>
      <c r="B68" s="8"/>
      <c r="C68" s="58"/>
      <c r="D68" s="200"/>
      <c r="E68" s="9"/>
      <c r="F68" s="21" t="s">
        <v>115</v>
      </c>
      <c r="G68" s="21" t="s">
        <v>116</v>
      </c>
      <c r="H68" s="23">
        <v>8</v>
      </c>
      <c r="I68" s="27">
        <f>(H68/60)*I65</f>
        <v>1.1064553846153846</v>
      </c>
      <c r="J68" s="28">
        <f>(H68/60)*J65</f>
        <v>1.1064553846153846</v>
      </c>
      <c r="K68" s="109" t="s">
        <v>117</v>
      </c>
      <c r="L68" s="60"/>
    </row>
    <row r="69" spans="1:19" customFormat="1" ht="15" customHeight="1">
      <c r="A69" s="8"/>
      <c r="B69" s="8"/>
      <c r="C69" s="58"/>
      <c r="D69" s="200"/>
      <c r="E69" s="9"/>
      <c r="F69" s="29" t="s">
        <v>118</v>
      </c>
      <c r="G69" s="29" t="s">
        <v>119</v>
      </c>
      <c r="H69" s="23">
        <v>6</v>
      </c>
      <c r="I69" s="31">
        <f>(((H69)*7.5)/(G18*52))*I61</f>
        <v>0.28419230769230774</v>
      </c>
      <c r="J69" s="31">
        <f>(((H69)*7.5)/(G18*52))*I61</f>
        <v>0.28419230769230774</v>
      </c>
      <c r="K69" s="84" t="s">
        <v>120</v>
      </c>
      <c r="L69" s="60"/>
      <c r="M69" s="20"/>
    </row>
    <row r="70" spans="1:19" customFormat="1" ht="15" customHeight="1">
      <c r="A70" s="8"/>
      <c r="B70" s="8"/>
      <c r="C70" s="58"/>
      <c r="D70" s="200"/>
      <c r="E70" s="9"/>
      <c r="F70" s="29" t="s">
        <v>121</v>
      </c>
      <c r="G70" s="21" t="s">
        <v>122</v>
      </c>
      <c r="H70" s="30">
        <v>1.4999999999999999E-2</v>
      </c>
      <c r="I70" s="27">
        <f>H70*I61</f>
        <v>0.12315000000000001</v>
      </c>
      <c r="J70" s="28">
        <f>H70*J61</f>
        <v>0.12315000000000001</v>
      </c>
      <c r="K70" s="81" t="s">
        <v>123</v>
      </c>
      <c r="L70" s="60"/>
    </row>
    <row r="71" spans="1:19" customFormat="1" ht="15" customHeight="1">
      <c r="A71" s="8"/>
      <c r="B71" s="8"/>
      <c r="C71" s="58"/>
      <c r="D71" s="200"/>
      <c r="E71" s="9"/>
      <c r="F71" s="29" t="s">
        <v>124</v>
      </c>
      <c r="G71" s="21" t="s">
        <v>122</v>
      </c>
      <c r="H71" s="30">
        <v>4.0000000000000001E-3</v>
      </c>
      <c r="I71" s="27">
        <f>H71*I61</f>
        <v>3.2840000000000001E-2</v>
      </c>
      <c r="J71" s="28">
        <f>H71*J61</f>
        <v>3.2840000000000001E-2</v>
      </c>
      <c r="K71" s="81" t="s">
        <v>125</v>
      </c>
      <c r="L71" s="60"/>
      <c r="R71">
        <v>71.7</v>
      </c>
      <c r="S71">
        <v>60</v>
      </c>
    </row>
    <row r="72" spans="1:19" customFormat="1" ht="15" customHeight="1">
      <c r="A72" s="8"/>
      <c r="B72" s="8"/>
      <c r="C72" s="58"/>
      <c r="D72" s="200"/>
      <c r="E72" s="9"/>
      <c r="F72" s="29" t="s">
        <v>126</v>
      </c>
      <c r="G72" s="21" t="s">
        <v>122</v>
      </c>
      <c r="H72" s="30">
        <v>0.1207</v>
      </c>
      <c r="I72" s="27">
        <f>H72*(SUM(I68:I71)+I65)</f>
        <v>1.1882979063846155</v>
      </c>
      <c r="J72" s="27">
        <f>H72*(SUM(J68:J71)+J65)</f>
        <v>1.1882979063846155</v>
      </c>
      <c r="K72" s="84" t="s">
        <v>127</v>
      </c>
      <c r="L72" s="60"/>
      <c r="R72">
        <v>60</v>
      </c>
      <c r="S72">
        <v>52</v>
      </c>
    </row>
    <row r="73" spans="1:19" customFormat="1" ht="15" customHeight="1">
      <c r="A73" s="8"/>
      <c r="B73" s="8"/>
      <c r="C73" s="58"/>
      <c r="D73" s="200"/>
      <c r="E73" s="9"/>
      <c r="F73" s="23" t="s">
        <v>96</v>
      </c>
      <c r="G73" s="23"/>
      <c r="H73" s="30"/>
      <c r="I73" s="24">
        <v>0</v>
      </c>
      <c r="J73" s="24">
        <v>0</v>
      </c>
      <c r="K73" s="82"/>
      <c r="L73" s="80"/>
      <c r="R73">
        <f>R72/R71</f>
        <v>0.83682008368200833</v>
      </c>
      <c r="S73">
        <f>S72/S71</f>
        <v>0.8666666666666667</v>
      </c>
    </row>
    <row r="74" spans="1:19" customFormat="1" ht="15" customHeight="1">
      <c r="A74" s="8"/>
      <c r="B74" s="8"/>
      <c r="C74" s="58"/>
      <c r="D74" s="200"/>
      <c r="E74" s="54"/>
      <c r="F74" s="32" t="s">
        <v>128</v>
      </c>
      <c r="G74" s="37"/>
      <c r="H74" s="36"/>
      <c r="I74" s="139">
        <f>SUM(I68:I73)</f>
        <v>2.7349355986923083</v>
      </c>
      <c r="J74" s="139">
        <f>SUM(J68:J73)</f>
        <v>2.7349355986923083</v>
      </c>
      <c r="K74" s="81"/>
      <c r="L74" s="60"/>
    </row>
    <row r="75" spans="1:19" customFormat="1" ht="15" customHeight="1">
      <c r="A75" s="8"/>
      <c r="B75" s="8"/>
      <c r="C75" s="9"/>
      <c r="D75" s="65"/>
      <c r="E75" s="54"/>
      <c r="F75" s="34"/>
      <c r="G75" s="37"/>
      <c r="H75" s="64"/>
      <c r="I75" s="57"/>
      <c r="J75" s="57"/>
      <c r="K75" s="17"/>
      <c r="R75">
        <f>R71-R72</f>
        <v>11.700000000000003</v>
      </c>
    </row>
    <row r="76" spans="1:19" customFormat="1" ht="15" customHeight="1">
      <c r="A76" s="8"/>
      <c r="B76" s="8"/>
      <c r="C76" s="58"/>
      <c r="D76" s="200" t="s">
        <v>129</v>
      </c>
      <c r="E76" s="9"/>
      <c r="F76" s="46" t="s">
        <v>130</v>
      </c>
      <c r="G76" s="47"/>
      <c r="H76" s="47"/>
      <c r="I76" s="48"/>
      <c r="J76" s="48"/>
      <c r="K76" s="83"/>
      <c r="L76" s="79"/>
      <c r="R76">
        <f>R75/R72</f>
        <v>0.19500000000000003</v>
      </c>
      <c r="S76">
        <f>8/52</f>
        <v>0.15384615384615385</v>
      </c>
    </row>
    <row r="77" spans="1:19" customFormat="1" ht="15" customHeight="1">
      <c r="A77" s="8"/>
      <c r="B77" s="8"/>
      <c r="C77" s="58"/>
      <c r="D77" s="200"/>
      <c r="E77" s="9"/>
      <c r="F77" s="21" t="s">
        <v>131</v>
      </c>
      <c r="G77" s="21" t="s">
        <v>122</v>
      </c>
      <c r="H77" s="30">
        <v>0.09</v>
      </c>
      <c r="I77" s="27">
        <f>H77*(I65+I74)</f>
        <v>0.99300158849769238</v>
      </c>
      <c r="J77" s="27">
        <f>H77*(J65+J74)</f>
        <v>0.99300158849769238</v>
      </c>
      <c r="K77" s="84" t="s">
        <v>132</v>
      </c>
      <c r="L77" s="60"/>
    </row>
    <row r="78" spans="1:19" customFormat="1" ht="15" customHeight="1">
      <c r="A78" s="8"/>
      <c r="B78" s="8"/>
      <c r="C78" s="58"/>
      <c r="D78" s="200"/>
      <c r="E78" s="9"/>
      <c r="F78" s="29" t="s">
        <v>133</v>
      </c>
      <c r="G78" s="21" t="s">
        <v>122</v>
      </c>
      <c r="H78" s="30">
        <v>0.03</v>
      </c>
      <c r="I78" s="27">
        <f>H78*(I65+I74)</f>
        <v>0.33100052949923081</v>
      </c>
      <c r="J78" s="27">
        <f>H78*(J65+J74)</f>
        <v>0.33100052949923081</v>
      </c>
      <c r="K78" s="84" t="s">
        <v>134</v>
      </c>
      <c r="L78" s="60"/>
    </row>
    <row r="79" spans="1:19" customFormat="1" ht="15" customHeight="1">
      <c r="A79" s="8"/>
      <c r="B79" s="8"/>
      <c r="C79" s="58"/>
      <c r="D79" s="200"/>
      <c r="E79" s="9"/>
      <c r="F79" s="23" t="s">
        <v>96</v>
      </c>
      <c r="G79" s="23"/>
      <c r="H79" s="30"/>
      <c r="I79" s="24">
        <v>0</v>
      </c>
      <c r="J79" s="24">
        <v>0</v>
      </c>
      <c r="K79" s="82"/>
      <c r="L79" s="80"/>
    </row>
    <row r="80" spans="1:19" customFormat="1" ht="15" customHeight="1">
      <c r="A80" s="8"/>
      <c r="B80" s="8"/>
      <c r="C80" s="58"/>
      <c r="D80" s="200"/>
      <c r="E80" s="54"/>
      <c r="F80" s="32" t="s">
        <v>135</v>
      </c>
      <c r="G80" s="37"/>
      <c r="H80" s="36"/>
      <c r="I80" s="139">
        <f>SUM(I77:I79)</f>
        <v>1.3240021179969232</v>
      </c>
      <c r="J80" s="139">
        <f>SUM(J77:J79)</f>
        <v>1.3240021179969232</v>
      </c>
      <c r="K80" s="81"/>
      <c r="L80" s="60"/>
    </row>
    <row r="81" spans="1:14" customFormat="1" ht="15" customHeight="1">
      <c r="A81" s="8"/>
      <c r="B81" s="8"/>
      <c r="C81" s="58"/>
      <c r="D81" s="9"/>
      <c r="E81" s="9"/>
      <c r="F81" s="34"/>
      <c r="G81" s="34"/>
      <c r="H81" s="34"/>
      <c r="I81" s="35"/>
      <c r="J81" s="35"/>
      <c r="K81" s="17"/>
    </row>
    <row r="82" spans="1:14" customFormat="1" ht="15" customHeight="1">
      <c r="A82" s="8"/>
      <c r="B82" s="8"/>
      <c r="C82" s="58"/>
      <c r="D82" s="200" t="s">
        <v>136</v>
      </c>
      <c r="E82" s="9"/>
      <c r="F82" s="46" t="s">
        <v>137</v>
      </c>
      <c r="G82" s="47"/>
      <c r="H82" s="47"/>
      <c r="I82" s="48"/>
      <c r="J82" s="48"/>
      <c r="K82" s="83"/>
      <c r="L82" s="79"/>
    </row>
    <row r="83" spans="1:14" customFormat="1" ht="15" customHeight="1">
      <c r="A83" s="8"/>
      <c r="B83" s="8"/>
      <c r="C83" s="58"/>
      <c r="D83" s="200"/>
      <c r="E83" s="9"/>
      <c r="F83" s="21" t="s">
        <v>138</v>
      </c>
      <c r="G83" s="21" t="s">
        <v>139</v>
      </c>
      <c r="H83" s="24">
        <v>0.3</v>
      </c>
      <c r="I83" s="35">
        <f>((G14+G15+G16)*G30*H83)*((H18/(H18+H19))/H18)</f>
        <v>1.0230000000000001</v>
      </c>
      <c r="J83" s="27">
        <f>((G14+G15+G16)*G30*H83)*((H18/(H18+H19))/H18)</f>
        <v>1.0230000000000001</v>
      </c>
      <c r="K83" s="85" t="s">
        <v>140</v>
      </c>
      <c r="L83" s="60"/>
    </row>
    <row r="84" spans="1:14" customFormat="1" ht="15" customHeight="1">
      <c r="A84" s="8"/>
      <c r="B84" s="8"/>
      <c r="C84" s="58"/>
      <c r="D84" s="200"/>
      <c r="E84" s="9"/>
      <c r="F84" s="23" t="s">
        <v>96</v>
      </c>
      <c r="G84" s="23"/>
      <c r="H84" s="30"/>
      <c r="I84" s="24">
        <v>0</v>
      </c>
      <c r="J84" s="24">
        <v>0</v>
      </c>
      <c r="K84" s="82"/>
      <c r="L84" s="80"/>
    </row>
    <row r="85" spans="1:14" customFormat="1" ht="15" customHeight="1">
      <c r="A85" s="8"/>
      <c r="B85" s="8"/>
      <c r="C85" s="58"/>
      <c r="D85" s="200"/>
      <c r="E85" s="9"/>
      <c r="F85" s="32" t="s">
        <v>135</v>
      </c>
      <c r="G85" s="37"/>
      <c r="H85" s="36"/>
      <c r="I85" s="139">
        <f>SUM(I83:I84)</f>
        <v>1.0230000000000001</v>
      </c>
      <c r="J85" s="139">
        <f>SUM(J83:J84)</f>
        <v>1.0230000000000001</v>
      </c>
      <c r="K85" s="81"/>
      <c r="L85" s="60"/>
    </row>
    <row r="86" spans="1:14" customFormat="1" ht="15" customHeight="1">
      <c r="A86" s="8"/>
      <c r="B86" s="8"/>
      <c r="C86" s="58"/>
      <c r="D86" s="9"/>
      <c r="E86" s="9"/>
      <c r="F86" s="34"/>
      <c r="G86" s="34"/>
      <c r="H86" s="34"/>
      <c r="I86" s="34"/>
      <c r="J86" s="35"/>
      <c r="L86" s="17"/>
    </row>
    <row r="87" spans="1:14" customFormat="1" ht="15" customHeight="1">
      <c r="A87" s="8"/>
      <c r="B87" s="8"/>
      <c r="C87" s="58"/>
      <c r="D87" s="9"/>
      <c r="E87" s="9"/>
      <c r="F87" s="117" t="s">
        <v>141</v>
      </c>
      <c r="G87" s="121"/>
      <c r="H87" s="122"/>
      <c r="I87" s="123">
        <f>I85+I74+I80+I65</f>
        <v>13.380353101304618</v>
      </c>
      <c r="J87" s="123">
        <f>J85+J74+J80+J65</f>
        <v>13.380353101304618</v>
      </c>
      <c r="L87" s="17"/>
    </row>
    <row r="88" spans="1:14" customFormat="1" ht="15" customHeight="1">
      <c r="A88" s="8"/>
      <c r="B88" s="8"/>
      <c r="C88" s="58"/>
      <c r="D88" s="9"/>
      <c r="E88" s="9"/>
      <c r="F88" s="16"/>
      <c r="G88" s="16"/>
      <c r="H88" s="16"/>
      <c r="I88" s="16"/>
      <c r="J88" s="19"/>
      <c r="K88" s="19"/>
      <c r="L88" s="17"/>
    </row>
    <row r="89" spans="1:14" s="20" customFormat="1" ht="15" customHeight="1">
      <c r="A89" s="8"/>
      <c r="B89" s="8"/>
      <c r="C89" s="58"/>
      <c r="D89" s="201" t="s">
        <v>142</v>
      </c>
      <c r="E89" s="9"/>
      <c r="F89" s="59" t="s">
        <v>143</v>
      </c>
      <c r="G89" s="39"/>
      <c r="H89" s="39"/>
      <c r="I89" s="39"/>
      <c r="J89" s="40"/>
      <c r="K89" s="39"/>
      <c r="L89" s="39"/>
      <c r="N89"/>
    </row>
    <row r="90" spans="1:14" customFormat="1" ht="47.25" customHeight="1">
      <c r="A90" s="8"/>
      <c r="B90" s="8"/>
      <c r="C90" s="58"/>
      <c r="D90" s="202"/>
      <c r="E90" s="9"/>
      <c r="F90" s="132" t="s">
        <v>21</v>
      </c>
      <c r="G90" s="132" t="s">
        <v>22</v>
      </c>
      <c r="H90" s="132" t="s">
        <v>23</v>
      </c>
      <c r="I90" s="133" t="s">
        <v>100</v>
      </c>
      <c r="J90" s="134" t="s">
        <v>101</v>
      </c>
      <c r="K90" s="206" t="s">
        <v>24</v>
      </c>
      <c r="L90" s="207"/>
    </row>
    <row r="91" spans="1:14" customFormat="1" ht="14.45">
      <c r="A91" s="8"/>
      <c r="B91" s="8"/>
      <c r="C91" s="58"/>
      <c r="D91" s="202"/>
      <c r="E91" s="9"/>
      <c r="F91" s="45" t="s">
        <v>102</v>
      </c>
      <c r="G91" s="49"/>
      <c r="H91" s="49"/>
      <c r="I91" s="50"/>
      <c r="J91" s="50"/>
      <c r="K91" s="73"/>
      <c r="L91" s="79"/>
    </row>
    <row r="92" spans="1:14" customFormat="1" ht="15" customHeight="1">
      <c r="A92" s="8"/>
      <c r="B92" s="8"/>
      <c r="C92" s="58"/>
      <c r="D92" s="202"/>
      <c r="E92" s="9"/>
      <c r="F92" s="21" t="s">
        <v>103</v>
      </c>
      <c r="G92" s="21" t="s">
        <v>104</v>
      </c>
      <c r="H92" s="24">
        <f>IF(G23&gt;0,10,0)</f>
        <v>10</v>
      </c>
      <c r="I92" s="27">
        <f>H92</f>
        <v>10</v>
      </c>
      <c r="J92" s="27">
        <f>H92</f>
        <v>10</v>
      </c>
      <c r="K92" s="109" t="s">
        <v>105</v>
      </c>
      <c r="L92" s="60"/>
    </row>
    <row r="93" spans="1:14" customFormat="1" ht="15" customHeight="1">
      <c r="A93" s="8"/>
      <c r="B93" s="8"/>
      <c r="C93" s="58"/>
      <c r="D93" s="202"/>
      <c r="E93" s="9"/>
      <c r="F93" s="21" t="s">
        <v>106</v>
      </c>
      <c r="G93" s="21" t="s">
        <v>107</v>
      </c>
      <c r="H93" s="30">
        <f>IF(G23&gt;0,7.5%,0)</f>
        <v>7.4999999999999997E-2</v>
      </c>
      <c r="I93" s="27">
        <f>I92*H93</f>
        <v>0.75</v>
      </c>
      <c r="J93" s="28">
        <f>(J92*H93)</f>
        <v>0.75</v>
      </c>
      <c r="K93" s="109" t="s">
        <v>108</v>
      </c>
      <c r="L93" s="60"/>
    </row>
    <row r="94" spans="1:14" customFormat="1" ht="15" customHeight="1">
      <c r="A94" s="8"/>
      <c r="B94" s="8"/>
      <c r="C94" s="58"/>
      <c r="D94" s="202"/>
      <c r="E94" s="9"/>
      <c r="F94" s="21" t="s">
        <v>109</v>
      </c>
      <c r="G94" s="21" t="s">
        <v>107</v>
      </c>
      <c r="H94" s="30">
        <f>IF(G23&gt;0,25%,0%)</f>
        <v>0.25</v>
      </c>
      <c r="I94" s="27">
        <f>I92*H94</f>
        <v>2.5</v>
      </c>
      <c r="J94" s="28">
        <f>(J92*H94)</f>
        <v>2.5</v>
      </c>
      <c r="K94" s="109" t="s">
        <v>110</v>
      </c>
      <c r="L94" s="60"/>
    </row>
    <row r="95" spans="1:14" customFormat="1" ht="15" customHeight="1">
      <c r="A95" s="8"/>
      <c r="B95" s="8"/>
      <c r="C95" s="58"/>
      <c r="D95" s="202"/>
      <c r="E95" s="9"/>
      <c r="F95" s="23" t="s">
        <v>96</v>
      </c>
      <c r="G95" s="23"/>
      <c r="H95" s="30"/>
      <c r="I95" s="24">
        <v>0</v>
      </c>
      <c r="J95" s="24">
        <f>(J34+J44)*H95</f>
        <v>0</v>
      </c>
      <c r="K95" s="82"/>
      <c r="L95" s="80"/>
    </row>
    <row r="96" spans="1:14" customFormat="1" ht="15" customHeight="1">
      <c r="A96" s="8"/>
      <c r="B96" s="8"/>
      <c r="C96" s="58"/>
      <c r="D96" s="203"/>
      <c r="E96" s="54"/>
      <c r="F96" s="32" t="s">
        <v>111</v>
      </c>
      <c r="G96" s="37"/>
      <c r="H96" s="36"/>
      <c r="I96" s="22">
        <f>((8*I94*7.5)+(52*2*I93*7.5)+((365-8-(52*2))*I92*7.5))/(G13*37.5)</f>
        <v>10.107692307692307</v>
      </c>
      <c r="J96" s="22">
        <f>((8*J94*7.5)+(52*2*J93*7.5)+((365-8-(52*2))*J92*7.5))/(G13*37.5)</f>
        <v>10.107692307692307</v>
      </c>
      <c r="K96" s="109" t="s">
        <v>112</v>
      </c>
      <c r="L96" s="60"/>
    </row>
    <row r="97" spans="1:13" customFormat="1" ht="15" customHeight="1">
      <c r="A97" s="8"/>
      <c r="B97" s="8"/>
      <c r="C97" s="58"/>
      <c r="D97" s="9"/>
      <c r="E97" s="9"/>
      <c r="F97" s="34"/>
      <c r="G97" s="34"/>
      <c r="H97" s="34"/>
      <c r="I97" s="35"/>
      <c r="J97" s="35"/>
      <c r="K97" s="17"/>
    </row>
    <row r="98" spans="1:13" customFormat="1" ht="15" customHeight="1">
      <c r="A98" s="8"/>
      <c r="B98" s="8"/>
      <c r="C98" s="58"/>
      <c r="D98" s="200" t="s">
        <v>144</v>
      </c>
      <c r="E98" s="9"/>
      <c r="F98" s="46" t="s">
        <v>114</v>
      </c>
      <c r="G98" s="47"/>
      <c r="H98" s="47"/>
      <c r="I98" s="48"/>
      <c r="J98" s="48"/>
      <c r="K98" s="83"/>
      <c r="L98" s="79"/>
    </row>
    <row r="99" spans="1:13" customFormat="1" ht="15" customHeight="1">
      <c r="A99" s="8"/>
      <c r="B99" s="8"/>
      <c r="C99" s="58"/>
      <c r="D99" s="200"/>
      <c r="E99" s="9"/>
      <c r="F99" s="21" t="s">
        <v>115</v>
      </c>
      <c r="G99" s="21" t="s">
        <v>116</v>
      </c>
      <c r="H99" s="23">
        <v>8</v>
      </c>
      <c r="I99" s="27">
        <f>(H99/60)*I96</f>
        <v>1.3476923076923075</v>
      </c>
      <c r="J99" s="28">
        <f>(H99/60)*J96</f>
        <v>1.3476923076923075</v>
      </c>
      <c r="K99" s="109" t="s">
        <v>117</v>
      </c>
      <c r="L99" s="60"/>
    </row>
    <row r="100" spans="1:13" customFormat="1" ht="15" customHeight="1">
      <c r="A100" s="8"/>
      <c r="B100" s="8"/>
      <c r="C100" s="58"/>
      <c r="D100" s="200"/>
      <c r="E100" s="9"/>
      <c r="F100" s="29" t="s">
        <v>118</v>
      </c>
      <c r="G100" s="29" t="s">
        <v>119</v>
      </c>
      <c r="H100" s="23">
        <v>6</v>
      </c>
      <c r="I100" s="141">
        <f>IF(G23&gt;0,(((H100)*7.5)/(G19*52))*I92,0)</f>
        <v>0.34615384615384615</v>
      </c>
      <c r="J100" s="141">
        <f>IF(G23&gt;0,(((H100)*7.5)/(G19*52))*I92,0)</f>
        <v>0.34615384615384615</v>
      </c>
      <c r="K100" s="84" t="s">
        <v>120</v>
      </c>
      <c r="L100" s="60"/>
      <c r="M100" s="20"/>
    </row>
    <row r="101" spans="1:13" customFormat="1" ht="15" customHeight="1">
      <c r="A101" s="8"/>
      <c r="B101" s="8"/>
      <c r="C101" s="58"/>
      <c r="D101" s="200"/>
      <c r="E101" s="9"/>
      <c r="F101" s="29" t="s">
        <v>121</v>
      </c>
      <c r="G101" s="21" t="s">
        <v>122</v>
      </c>
      <c r="H101" s="30">
        <v>1.4999999999999999E-2</v>
      </c>
      <c r="I101" s="27">
        <f>H101*I92</f>
        <v>0.15</v>
      </c>
      <c r="J101" s="28">
        <f>H101*J92</f>
        <v>0.15</v>
      </c>
      <c r="K101" s="81" t="s">
        <v>123</v>
      </c>
      <c r="L101" s="60"/>
    </row>
    <row r="102" spans="1:13" customFormat="1" ht="15" customHeight="1">
      <c r="A102" s="8"/>
      <c r="B102" s="8"/>
      <c r="C102" s="58"/>
      <c r="D102" s="200"/>
      <c r="E102" s="9"/>
      <c r="F102" s="29" t="s">
        <v>124</v>
      </c>
      <c r="G102" s="21" t="s">
        <v>122</v>
      </c>
      <c r="H102" s="30">
        <v>4.0000000000000001E-3</v>
      </c>
      <c r="I102" s="27">
        <f>H102*I92</f>
        <v>0.04</v>
      </c>
      <c r="J102" s="28">
        <f>H102*J92</f>
        <v>0.04</v>
      </c>
      <c r="K102" s="81" t="s">
        <v>125</v>
      </c>
      <c r="L102" s="60"/>
    </row>
    <row r="103" spans="1:13" customFormat="1" ht="15" customHeight="1">
      <c r="A103" s="8"/>
      <c r="B103" s="8"/>
      <c r="C103" s="58"/>
      <c r="D103" s="200"/>
      <c r="E103" s="9"/>
      <c r="F103" s="29" t="s">
        <v>126</v>
      </c>
      <c r="G103" s="21" t="s">
        <v>122</v>
      </c>
      <c r="H103" s="30">
        <v>0.1207</v>
      </c>
      <c r="I103" s="27">
        <f>H103*(SUM(I99:I102)+I96)</f>
        <v>1.4473786923076923</v>
      </c>
      <c r="J103" s="27">
        <f>H103*(SUM(J99:J102)+J96)</f>
        <v>1.4473786923076923</v>
      </c>
      <c r="K103" s="84" t="s">
        <v>127</v>
      </c>
      <c r="L103" s="60"/>
    </row>
    <row r="104" spans="1:13" customFormat="1" ht="15" customHeight="1">
      <c r="A104" s="8"/>
      <c r="B104" s="8"/>
      <c r="C104" s="58"/>
      <c r="D104" s="200"/>
      <c r="E104" s="9"/>
      <c r="F104" s="23" t="s">
        <v>96</v>
      </c>
      <c r="G104" s="23"/>
      <c r="H104" s="30"/>
      <c r="I104" s="24">
        <v>0</v>
      </c>
      <c r="J104" s="24">
        <f>I104</f>
        <v>0</v>
      </c>
      <c r="K104" s="82"/>
      <c r="L104" s="80"/>
    </row>
    <row r="105" spans="1:13" customFormat="1" ht="15" customHeight="1">
      <c r="A105" s="8"/>
      <c r="B105" s="8"/>
      <c r="C105" s="58"/>
      <c r="D105" s="200"/>
      <c r="E105" s="54"/>
      <c r="F105" s="32" t="s">
        <v>128</v>
      </c>
      <c r="G105" s="37"/>
      <c r="H105" s="36"/>
      <c r="I105" s="22">
        <f>SUM(I99:I104)</f>
        <v>3.3312248461538463</v>
      </c>
      <c r="J105" s="22">
        <f>SUM(J99:J104)</f>
        <v>3.3312248461538463</v>
      </c>
      <c r="K105" s="81"/>
      <c r="L105" s="60"/>
    </row>
    <row r="106" spans="1:13" customFormat="1" ht="15" customHeight="1">
      <c r="A106" s="8"/>
      <c r="B106" s="8"/>
      <c r="C106" s="9"/>
      <c r="D106" s="65"/>
      <c r="E106" s="54"/>
      <c r="F106" s="34"/>
      <c r="G106" s="37"/>
      <c r="H106" s="64"/>
      <c r="I106" s="57"/>
      <c r="J106" s="57"/>
      <c r="K106" s="17"/>
    </row>
    <row r="107" spans="1:13" customFormat="1" ht="15" customHeight="1">
      <c r="A107" s="8"/>
      <c r="B107" s="8"/>
      <c r="C107" s="58"/>
      <c r="D107" s="200" t="s">
        <v>145</v>
      </c>
      <c r="E107" s="9"/>
      <c r="F107" s="46" t="s">
        <v>130</v>
      </c>
      <c r="G107" s="47"/>
      <c r="H107" s="47"/>
      <c r="I107" s="48"/>
      <c r="J107" s="48"/>
      <c r="K107" s="83"/>
      <c r="L107" s="79"/>
    </row>
    <row r="108" spans="1:13" customFormat="1" ht="15" customHeight="1">
      <c r="A108" s="8"/>
      <c r="B108" s="8"/>
      <c r="C108" s="58"/>
      <c r="D108" s="200"/>
      <c r="E108" s="9"/>
      <c r="F108" s="21" t="s">
        <v>131</v>
      </c>
      <c r="G108" s="21" t="s">
        <v>122</v>
      </c>
      <c r="H108" s="30">
        <v>0.09</v>
      </c>
      <c r="I108" s="27">
        <f>H108*(I96+I105)</f>
        <v>1.2095025438461537</v>
      </c>
      <c r="J108" s="27">
        <f>H108*(J96+J105)</f>
        <v>1.2095025438461537</v>
      </c>
      <c r="K108" s="84" t="s">
        <v>132</v>
      </c>
      <c r="L108" s="60"/>
    </row>
    <row r="109" spans="1:13" customFormat="1" ht="15" customHeight="1">
      <c r="A109" s="8"/>
      <c r="B109" s="8"/>
      <c r="C109" s="58"/>
      <c r="D109" s="200"/>
      <c r="E109" s="9"/>
      <c r="F109" s="29" t="s">
        <v>133</v>
      </c>
      <c r="G109" s="21" t="s">
        <v>122</v>
      </c>
      <c r="H109" s="30">
        <v>0.03</v>
      </c>
      <c r="I109" s="27">
        <f>H109*(I96+I105)</f>
        <v>0.40316751461538458</v>
      </c>
      <c r="J109" s="27">
        <f>H109*(J96+J105)</f>
        <v>0.40316751461538458</v>
      </c>
      <c r="K109" s="84" t="s">
        <v>134</v>
      </c>
      <c r="L109" s="60"/>
    </row>
    <row r="110" spans="1:13" customFormat="1" ht="15" customHeight="1">
      <c r="A110" s="8"/>
      <c r="B110" s="8"/>
      <c r="C110" s="58"/>
      <c r="D110" s="200"/>
      <c r="E110" s="9"/>
      <c r="F110" s="23" t="s">
        <v>96</v>
      </c>
      <c r="G110" s="23"/>
      <c r="H110" s="30"/>
      <c r="I110" s="24">
        <v>0</v>
      </c>
      <c r="J110" s="24">
        <f>I110</f>
        <v>0</v>
      </c>
      <c r="K110" s="82"/>
      <c r="L110" s="80"/>
    </row>
    <row r="111" spans="1:13" customFormat="1" ht="15" customHeight="1">
      <c r="A111" s="8"/>
      <c r="B111" s="8"/>
      <c r="C111" s="58"/>
      <c r="D111" s="200"/>
      <c r="E111" s="54"/>
      <c r="F111" s="32" t="s">
        <v>135</v>
      </c>
      <c r="G111" s="37"/>
      <c r="H111" s="36"/>
      <c r="I111" s="22">
        <f>SUM(I108:I110)</f>
        <v>1.6126700584615383</v>
      </c>
      <c r="J111" s="22">
        <f>SUM(J108:J110)</f>
        <v>1.6126700584615383</v>
      </c>
      <c r="K111" s="81"/>
      <c r="L111" s="60"/>
    </row>
    <row r="112" spans="1:13" customFormat="1" ht="15" customHeight="1">
      <c r="A112" s="8"/>
      <c r="B112" s="8"/>
      <c r="C112" s="58"/>
      <c r="D112" s="9"/>
      <c r="E112" s="9"/>
      <c r="F112" s="34"/>
      <c r="G112" s="34"/>
      <c r="H112" s="34"/>
      <c r="I112" s="35"/>
      <c r="J112" s="35"/>
      <c r="K112" s="17"/>
    </row>
    <row r="113" spans="1:13" customFormat="1" ht="15" customHeight="1">
      <c r="A113" s="8"/>
      <c r="B113" s="8"/>
      <c r="C113" s="58"/>
      <c r="D113" s="200" t="s">
        <v>146</v>
      </c>
      <c r="E113" s="9"/>
      <c r="F113" s="46" t="s">
        <v>137</v>
      </c>
      <c r="G113" s="47"/>
      <c r="H113" s="47"/>
      <c r="I113" s="48"/>
      <c r="J113" s="48"/>
      <c r="K113" s="83"/>
      <c r="L113" s="79"/>
    </row>
    <row r="114" spans="1:13" customFormat="1" ht="15" customHeight="1">
      <c r="A114" s="8"/>
      <c r="B114" s="8"/>
      <c r="C114" s="58"/>
      <c r="D114" s="200"/>
      <c r="E114" s="9"/>
      <c r="F114" s="21" t="s">
        <v>138</v>
      </c>
      <c r="G114" s="21" t="s">
        <v>139</v>
      </c>
      <c r="H114" s="24">
        <f>IF(G23&gt;0,0.3,0)</f>
        <v>0.3</v>
      </c>
      <c r="I114" s="27">
        <f>IF(G23&gt;0,((G14+G15+G16)*G30*H114)*((H19/(H18+H19))/H19),0)</f>
        <v>1.0230000000000001</v>
      </c>
      <c r="J114" s="27">
        <f>IF(G23&gt;0,((G14+G15+G16)*G30*H114)*((H19/(H18+H19))/H19),0)</f>
        <v>1.0230000000000001</v>
      </c>
      <c r="K114" s="85" t="s">
        <v>140</v>
      </c>
      <c r="L114" s="60"/>
    </row>
    <row r="115" spans="1:13" customFormat="1" ht="15" customHeight="1">
      <c r="A115" s="8"/>
      <c r="B115" s="8"/>
      <c r="C115" s="58"/>
      <c r="D115" s="200"/>
      <c r="E115" s="9"/>
      <c r="F115" s="23" t="s">
        <v>96</v>
      </c>
      <c r="G115" s="23"/>
      <c r="H115" s="30"/>
      <c r="I115" s="24">
        <v>0</v>
      </c>
      <c r="J115" s="24">
        <f>(J54+J63)*H115</f>
        <v>0</v>
      </c>
      <c r="K115" s="82"/>
      <c r="L115" s="80"/>
    </row>
    <row r="116" spans="1:13" customFormat="1" ht="15" customHeight="1">
      <c r="A116" s="8"/>
      <c r="B116" s="8"/>
      <c r="C116" s="58"/>
      <c r="D116" s="200"/>
      <c r="E116" s="9"/>
      <c r="F116" s="32" t="s">
        <v>135</v>
      </c>
      <c r="G116" s="37"/>
      <c r="H116" s="36"/>
      <c r="I116" s="22">
        <f>SUM(I114:I115)</f>
        <v>1.0230000000000001</v>
      </c>
      <c r="J116" s="22">
        <f>SUM(J114:J115)</f>
        <v>1.0230000000000001</v>
      </c>
      <c r="K116" s="81"/>
      <c r="L116" s="60"/>
    </row>
    <row r="117" spans="1:13" customFormat="1" ht="15" customHeight="1">
      <c r="A117" s="8"/>
      <c r="B117" s="8"/>
      <c r="C117" s="58"/>
      <c r="D117" s="9"/>
      <c r="E117" s="9"/>
      <c r="F117" s="34"/>
      <c r="G117" s="34"/>
      <c r="H117" s="34"/>
      <c r="I117" s="35"/>
      <c r="J117" s="35"/>
      <c r="L117" s="17"/>
    </row>
    <row r="118" spans="1:13" customFormat="1" ht="15" customHeight="1">
      <c r="A118" s="8"/>
      <c r="B118" s="8"/>
      <c r="C118" s="58"/>
      <c r="D118" s="9"/>
      <c r="E118" s="9"/>
      <c r="F118" s="117" t="s">
        <v>147</v>
      </c>
      <c r="G118" s="121"/>
      <c r="H118" s="122"/>
      <c r="I118" s="123">
        <f>I116+I105+I111+I96</f>
        <v>16.074587212307691</v>
      </c>
      <c r="J118" s="123">
        <f>J116+J105+J111+J96</f>
        <v>16.074587212307691</v>
      </c>
      <c r="K118" s="130"/>
      <c r="L118" s="131"/>
    </row>
    <row r="119" spans="1:13" customFormat="1" ht="15" customHeight="1">
      <c r="A119" s="8"/>
      <c r="B119" s="8"/>
      <c r="C119" s="58"/>
      <c r="D119" s="9"/>
      <c r="E119" s="9"/>
      <c r="F119" s="16"/>
      <c r="G119" s="16"/>
      <c r="H119" s="16"/>
      <c r="I119" s="16"/>
      <c r="J119" s="19"/>
      <c r="L119" s="131"/>
    </row>
    <row r="120" spans="1:13" customFormat="1" ht="15" customHeight="1">
      <c r="A120" s="8"/>
      <c r="B120" s="8"/>
      <c r="C120" s="58"/>
      <c r="D120" s="9"/>
      <c r="E120" s="9"/>
      <c r="F120" s="16"/>
      <c r="G120" s="16"/>
      <c r="H120" s="16"/>
      <c r="I120" s="19"/>
      <c r="J120" s="19"/>
      <c r="K120" s="19"/>
      <c r="L120" s="19"/>
      <c r="M120" s="19"/>
    </row>
    <row r="121" spans="1:13" customFormat="1" ht="15" customHeight="1">
      <c r="A121" s="8"/>
      <c r="B121" s="8"/>
      <c r="C121" s="58"/>
      <c r="D121" s="9"/>
      <c r="E121" s="9"/>
      <c r="F121" s="59" t="s">
        <v>148</v>
      </c>
      <c r="G121" s="39"/>
      <c r="H121" s="39"/>
      <c r="I121" s="39"/>
      <c r="J121" s="40"/>
      <c r="K121" s="40"/>
      <c r="L121" s="40"/>
    </row>
    <row r="122" spans="1:13" customFormat="1" ht="15" customHeight="1">
      <c r="A122" s="8"/>
      <c r="B122" s="8"/>
      <c r="C122" s="58"/>
      <c r="D122" s="201" t="s">
        <v>149</v>
      </c>
      <c r="E122" s="9"/>
      <c r="F122" s="46" t="s">
        <v>150</v>
      </c>
      <c r="G122" s="47"/>
      <c r="H122" s="47"/>
      <c r="I122" s="48"/>
      <c r="J122" s="48"/>
      <c r="K122" s="204"/>
      <c r="L122" s="205"/>
    </row>
    <row r="123" spans="1:13" customFormat="1" ht="15" customHeight="1">
      <c r="A123" s="8"/>
      <c r="B123" s="8"/>
      <c r="C123" s="58"/>
      <c r="D123" s="202"/>
      <c r="E123" s="9"/>
      <c r="F123" s="21" t="s">
        <v>151</v>
      </c>
      <c r="G123" s="21" t="s">
        <v>54</v>
      </c>
      <c r="H123" s="41">
        <f>G26</f>
        <v>2000</v>
      </c>
      <c r="I123" s="27">
        <f>(((G22*G21)*H123)/((H18+H19)*G13))*(H18/(H18+H19))</f>
        <v>3.8461538461538464E-2</v>
      </c>
      <c r="J123" s="27">
        <f>(((G24*G21)*H123)/((H18+H19)*G13))*(H18/(H18+H19))</f>
        <v>7.6923076923076927E-2</v>
      </c>
      <c r="K123" s="88" t="s">
        <v>152</v>
      </c>
      <c r="L123" s="33"/>
    </row>
    <row r="124" spans="1:13" customFormat="1" ht="15" customHeight="1">
      <c r="A124" s="8"/>
      <c r="B124" s="8"/>
      <c r="C124" s="58"/>
      <c r="D124" s="202"/>
      <c r="E124" s="9"/>
      <c r="F124" s="21" t="s">
        <v>153</v>
      </c>
      <c r="G124" s="21" t="s">
        <v>154</v>
      </c>
      <c r="H124" s="30">
        <v>0.05</v>
      </c>
      <c r="I124" s="27">
        <f>((I65+I74+I96+I105)*H124)*(H18/(H18+H19))</f>
        <v>0.61180670342884624</v>
      </c>
      <c r="J124" s="27">
        <f>((J65+J74+J96+J105)*H124)*(H18/(H18+H19))</f>
        <v>0.61180670342884624</v>
      </c>
      <c r="K124" s="88" t="s">
        <v>155</v>
      </c>
      <c r="L124" s="33"/>
    </row>
    <row r="125" spans="1:13" customFormat="1" ht="15" customHeight="1">
      <c r="A125" s="8"/>
      <c r="B125" s="8"/>
      <c r="C125" s="58"/>
      <c r="D125" s="202"/>
      <c r="E125" s="9"/>
      <c r="F125" s="21" t="s">
        <v>156</v>
      </c>
      <c r="G125" s="21" t="s">
        <v>157</v>
      </c>
      <c r="H125" s="30">
        <v>0.02</v>
      </c>
      <c r="I125" s="27">
        <f>((I65+I74+I96+I105)*H125)*(H18/(H18+H19))</f>
        <v>0.24472268137153846</v>
      </c>
      <c r="J125" s="27">
        <f>((J65+J74+J96+J105)*H125)*(H18/(H18+H19))</f>
        <v>0.24472268137153846</v>
      </c>
      <c r="K125" s="88" t="s">
        <v>155</v>
      </c>
      <c r="L125" s="33"/>
    </row>
    <row r="126" spans="1:13" customFormat="1" ht="15" customHeight="1">
      <c r="A126" s="8"/>
      <c r="B126" s="8"/>
      <c r="C126" s="58"/>
      <c r="D126" s="202"/>
      <c r="E126" s="9"/>
      <c r="F126" s="23" t="s">
        <v>96</v>
      </c>
      <c r="G126" s="23"/>
      <c r="H126" s="30"/>
      <c r="I126" s="24">
        <v>0</v>
      </c>
      <c r="J126" s="24">
        <f>I126</f>
        <v>0</v>
      </c>
      <c r="K126" s="82"/>
      <c r="L126" s="92"/>
    </row>
    <row r="127" spans="1:13" customFormat="1" ht="15" customHeight="1">
      <c r="A127" s="8"/>
      <c r="B127" s="8"/>
      <c r="C127" s="58"/>
      <c r="D127" s="70"/>
      <c r="E127" s="9"/>
      <c r="F127" s="68"/>
      <c r="G127" s="68"/>
      <c r="H127" s="90"/>
      <c r="I127" s="66">
        <f>SUM(I123:I126)</f>
        <v>0.89499092326192309</v>
      </c>
      <c r="J127" s="66">
        <f>SUM(J123:J126)</f>
        <v>0.93345246172346164</v>
      </c>
      <c r="K127" s="89"/>
      <c r="L127" s="91"/>
    </row>
    <row r="128" spans="1:13" customFormat="1" ht="15" customHeight="1">
      <c r="A128" s="8"/>
      <c r="B128" s="8"/>
      <c r="C128" s="58"/>
      <c r="D128" s="9"/>
      <c r="E128" s="9"/>
      <c r="F128" s="16"/>
      <c r="G128" s="16"/>
      <c r="H128" s="16"/>
      <c r="I128" s="16"/>
      <c r="J128" s="19"/>
      <c r="K128" s="19"/>
      <c r="L128" s="17"/>
    </row>
    <row r="129" spans="1:15" customFormat="1" ht="15" customHeight="1">
      <c r="A129" s="8"/>
      <c r="B129" s="8"/>
      <c r="C129" s="58"/>
      <c r="D129" s="200" t="s">
        <v>158</v>
      </c>
      <c r="E129" s="9"/>
      <c r="F129" s="46" t="s">
        <v>159</v>
      </c>
      <c r="G129" s="47"/>
      <c r="H129" s="95"/>
      <c r="I129" s="50"/>
      <c r="J129" s="96"/>
      <c r="K129" s="205" t="s">
        <v>160</v>
      </c>
      <c r="L129" s="205"/>
    </row>
    <row r="130" spans="1:15" customFormat="1" ht="15" customHeight="1">
      <c r="A130" s="8"/>
      <c r="B130" s="8"/>
      <c r="C130" s="58"/>
      <c r="D130" s="200"/>
      <c r="E130" s="9"/>
      <c r="F130" s="21" t="s">
        <v>161</v>
      </c>
      <c r="G130" s="21"/>
      <c r="H130" s="60"/>
      <c r="I130" s="27">
        <f>(I37/($G$13*$H$18))*($H$18/($H$18+$H$19))</f>
        <v>0.24547384615384618</v>
      </c>
      <c r="J130" s="24">
        <f>I130</f>
        <v>0.24547384615384618</v>
      </c>
      <c r="K130" s="97" t="s">
        <v>162</v>
      </c>
      <c r="L130" s="25"/>
      <c r="M130" s="130"/>
    </row>
    <row r="131" spans="1:15" customFormat="1" ht="15" customHeight="1">
      <c r="A131" s="8"/>
      <c r="B131" s="8"/>
      <c r="C131" s="58"/>
      <c r="D131" s="200"/>
      <c r="E131" s="9"/>
      <c r="F131" s="21" t="s">
        <v>163</v>
      </c>
      <c r="G131" s="21"/>
      <c r="H131" s="60"/>
      <c r="I131" s="27">
        <f>(I38/($G$13*$H$18))*($H$18/($H$18+$H$19))</f>
        <v>0.34366338461538459</v>
      </c>
      <c r="J131" s="24">
        <f>I131</f>
        <v>0.34366338461538459</v>
      </c>
      <c r="K131" s="97" t="s">
        <v>162</v>
      </c>
      <c r="L131" s="25"/>
    </row>
    <row r="132" spans="1:15" customFormat="1" ht="15" customHeight="1">
      <c r="A132" s="8"/>
      <c r="B132" s="8"/>
      <c r="C132" s="58"/>
      <c r="D132" s="200"/>
      <c r="E132" s="9"/>
      <c r="F132" s="94" t="s">
        <v>77</v>
      </c>
      <c r="G132" s="21" t="s">
        <v>164</v>
      </c>
      <c r="H132" s="60"/>
      <c r="I132" s="27">
        <f>(I39/($G$13*$H$18))*($H$18/($H$18+$H$19))</f>
        <v>0.28229492307692311</v>
      </c>
      <c r="J132" s="24">
        <f t="shared" ref="J132" si="0">I132</f>
        <v>0.28229492307692311</v>
      </c>
      <c r="K132" s="97" t="s">
        <v>165</v>
      </c>
      <c r="L132" s="92"/>
    </row>
    <row r="133" spans="1:15" customFormat="1" ht="17.25" customHeight="1">
      <c r="A133" s="8"/>
      <c r="B133" s="8"/>
      <c r="C133" s="58"/>
      <c r="D133" s="200"/>
      <c r="E133" s="9"/>
      <c r="F133" s="94" t="s">
        <v>166</v>
      </c>
      <c r="G133" s="21" t="s">
        <v>167</v>
      </c>
      <c r="H133" s="60"/>
      <c r="I133" s="27">
        <f>(I40/($G$13*$H$18))*($H$18/($H$18+$H$19))</f>
        <v>0.24547384615384618</v>
      </c>
      <c r="J133" s="24">
        <f t="shared" ref="J133" si="1">I133</f>
        <v>0.24547384615384618</v>
      </c>
      <c r="K133" s="97" t="s">
        <v>168</v>
      </c>
      <c r="L133" s="25"/>
    </row>
    <row r="134" spans="1:15" customFormat="1" ht="15" customHeight="1">
      <c r="A134" s="8"/>
      <c r="B134" s="8"/>
      <c r="C134" s="58"/>
      <c r="D134" s="200"/>
      <c r="E134" s="9"/>
      <c r="F134" s="21" t="s">
        <v>169</v>
      </c>
      <c r="G134" s="94"/>
      <c r="H134" s="24">
        <v>1</v>
      </c>
      <c r="I134" s="27">
        <f>1/G18</f>
        <v>0.04</v>
      </c>
      <c r="J134" s="24">
        <f>H134/G18</f>
        <v>0.04</v>
      </c>
      <c r="K134" s="61" t="s">
        <v>170</v>
      </c>
      <c r="L134" s="92"/>
    </row>
    <row r="135" spans="1:15" customFormat="1" ht="15" customHeight="1">
      <c r="A135" s="8"/>
      <c r="B135" s="8"/>
      <c r="C135" s="58"/>
      <c r="D135" s="200"/>
      <c r="E135" s="9"/>
      <c r="F135" s="21" t="s">
        <v>171</v>
      </c>
      <c r="G135" s="21" t="s">
        <v>172</v>
      </c>
      <c r="H135" s="24">
        <f>G31/G25/G13</f>
        <v>0.96153846153846156</v>
      </c>
      <c r="I135" s="27">
        <f>((H135*G25)*(H18/(H18+H19)))/H18</f>
        <v>7.2115384615384609E-2</v>
      </c>
      <c r="J135" s="24">
        <f>((H135*G25)*(H18/(H18+H19)))/H18</f>
        <v>7.2115384615384609E-2</v>
      </c>
      <c r="K135" s="116" t="s">
        <v>155</v>
      </c>
      <c r="L135" s="92"/>
    </row>
    <row r="136" spans="1:15" customFormat="1" ht="15" customHeight="1">
      <c r="A136" s="8"/>
      <c r="B136" s="8"/>
      <c r="C136" s="58"/>
      <c r="D136" s="200"/>
      <c r="E136" s="9"/>
      <c r="F136" s="21" t="s">
        <v>173</v>
      </c>
      <c r="G136" s="21" t="s">
        <v>174</v>
      </c>
      <c r="H136" s="69">
        <f>G29*60</f>
        <v>90</v>
      </c>
      <c r="I136" s="27">
        <f>(((90/60)*J39*G25)*(H18/(H18+H19)))/(H18*G13)</f>
        <v>3.2572491124260361E-2</v>
      </c>
      <c r="J136" s="24">
        <f>(((H136/60)*J39*G25)*(H18/(H18+H19)))/(H18*G13)</f>
        <v>3.2572491124260361E-2</v>
      </c>
      <c r="K136" s="116" t="s">
        <v>175</v>
      </c>
      <c r="L136" s="92"/>
    </row>
    <row r="137" spans="1:15" customFormat="1" ht="15" customHeight="1">
      <c r="A137" s="8"/>
      <c r="B137" s="8"/>
      <c r="C137" s="58"/>
      <c r="D137" s="70"/>
      <c r="E137" s="9"/>
      <c r="F137" s="68"/>
      <c r="G137" s="68"/>
      <c r="H137" s="67"/>
      <c r="I137" s="22">
        <f>SUM(I130:I136)</f>
        <v>1.261593875739645</v>
      </c>
      <c r="J137" s="22">
        <f>SUM(J130:J136)</f>
        <v>1.261593875739645</v>
      </c>
      <c r="L137" s="17"/>
    </row>
    <row r="138" spans="1:15" customFormat="1" ht="15" customHeight="1">
      <c r="A138" s="8"/>
      <c r="B138" s="8"/>
      <c r="C138" s="58"/>
      <c r="D138" s="9"/>
      <c r="E138" s="9"/>
      <c r="F138" s="16"/>
      <c r="G138" s="16"/>
      <c r="H138" s="16"/>
      <c r="I138" s="16"/>
      <c r="J138" s="19"/>
      <c r="K138" s="19"/>
      <c r="L138" s="17"/>
    </row>
    <row r="139" spans="1:15" customFormat="1" ht="15" customHeight="1">
      <c r="A139" s="8"/>
      <c r="B139" s="8"/>
      <c r="C139" s="58"/>
      <c r="D139" s="200" t="s">
        <v>176</v>
      </c>
      <c r="E139" s="9"/>
      <c r="F139" s="46" t="s">
        <v>177</v>
      </c>
      <c r="G139" s="47"/>
      <c r="H139" s="49"/>
      <c r="I139" s="50"/>
      <c r="J139" s="96"/>
      <c r="K139" s="205" t="s">
        <v>160</v>
      </c>
      <c r="L139" s="205"/>
    </row>
    <row r="140" spans="1:15" customFormat="1" ht="15" customHeight="1">
      <c r="A140" s="8"/>
      <c r="B140" s="8"/>
      <c r="C140" s="58"/>
      <c r="D140" s="200"/>
      <c r="E140" s="9"/>
      <c r="F140" s="94" t="str">
        <f t="shared" ref="F140:F147" si="2">F45</f>
        <v>Premises, utilities and services</v>
      </c>
      <c r="G140" s="86"/>
      <c r="H140" s="101"/>
      <c r="I140" s="27">
        <f>(I45/($H$18*$G$13))*($H$18/($H$18+$H$19))</f>
        <v>0.19230769230769232</v>
      </c>
      <c r="J140" s="24">
        <f>I140</f>
        <v>0.19230769230769232</v>
      </c>
      <c r="K140" s="97" t="s">
        <v>178</v>
      </c>
      <c r="L140" s="25"/>
      <c r="N140" s="130"/>
      <c r="O140" s="130"/>
    </row>
    <row r="141" spans="1:15" customFormat="1" ht="15" customHeight="1">
      <c r="A141" s="8"/>
      <c r="B141" s="8"/>
      <c r="C141" s="58"/>
      <c r="D141" s="200"/>
      <c r="E141" s="9"/>
      <c r="F141" s="94" t="str">
        <f t="shared" si="2"/>
        <v>Consumables and stationary</v>
      </c>
      <c r="G141" s="86"/>
      <c r="H141" s="101"/>
      <c r="I141" s="27">
        <f t="shared" ref="I141:I146" si="3">(I46/($H$18*$G$13))*($H$18/($H$18+$H$19))</f>
        <v>1.9230769230769232E-2</v>
      </c>
      <c r="J141" s="24">
        <f t="shared" ref="J141:J146" si="4">I141</f>
        <v>1.9230769230769232E-2</v>
      </c>
      <c r="K141" s="97" t="s">
        <v>178</v>
      </c>
      <c r="L141" s="25"/>
      <c r="N141" s="130"/>
      <c r="O141" s="130"/>
    </row>
    <row r="142" spans="1:15" customFormat="1" ht="15" customHeight="1">
      <c r="A142" s="8"/>
      <c r="B142" s="8"/>
      <c r="C142" s="58"/>
      <c r="D142" s="200"/>
      <c r="E142" s="9"/>
      <c r="F142" s="94" t="str">
        <f t="shared" si="2"/>
        <v>Professional Costs</v>
      </c>
      <c r="G142" s="86"/>
      <c r="H142" s="101"/>
      <c r="I142" s="27">
        <f t="shared" si="3"/>
        <v>0.14423076923076922</v>
      </c>
      <c r="J142" s="24">
        <f t="shared" si="4"/>
        <v>0.14423076923076922</v>
      </c>
      <c r="K142" s="97" t="s">
        <v>178</v>
      </c>
      <c r="L142" s="25"/>
      <c r="N142" s="130"/>
      <c r="O142" s="130"/>
    </row>
    <row r="143" spans="1:15" customFormat="1" ht="15" customHeight="1">
      <c r="A143" s="8"/>
      <c r="B143" s="8"/>
      <c r="C143" s="58"/>
      <c r="D143" s="200"/>
      <c r="E143" s="9"/>
      <c r="F143" s="94" t="str">
        <f t="shared" si="2"/>
        <v>Insurance</v>
      </c>
      <c r="G143" s="86"/>
      <c r="H143" s="101"/>
      <c r="I143" s="27">
        <f t="shared" si="3"/>
        <v>9.6153846153846159E-2</v>
      </c>
      <c r="J143" s="24">
        <f t="shared" si="4"/>
        <v>9.6153846153846159E-2</v>
      </c>
      <c r="K143" s="97" t="s">
        <v>178</v>
      </c>
      <c r="L143" s="92"/>
      <c r="N143" s="130"/>
      <c r="O143" s="130"/>
    </row>
    <row r="144" spans="1:15" customFormat="1" ht="15" customHeight="1">
      <c r="A144" s="8"/>
      <c r="B144" s="8"/>
      <c r="C144" s="58"/>
      <c r="D144" s="200"/>
      <c r="E144" s="9"/>
      <c r="F144" s="94" t="str">
        <f t="shared" si="2"/>
        <v>Marketing/customer experience (eg website)</v>
      </c>
      <c r="G144" s="86"/>
      <c r="H144" s="101"/>
      <c r="I144" s="27">
        <f t="shared" si="3"/>
        <v>1.9230769230769232E-2</v>
      </c>
      <c r="J144" s="24">
        <f t="shared" si="4"/>
        <v>1.9230769230769232E-2</v>
      </c>
      <c r="K144" s="97" t="s">
        <v>178</v>
      </c>
      <c r="L144" s="92"/>
      <c r="N144" s="130"/>
      <c r="O144" s="130"/>
    </row>
    <row r="145" spans="1:19" customFormat="1" ht="15" customHeight="1">
      <c r="A145" s="8"/>
      <c r="B145" s="8"/>
      <c r="C145" s="58"/>
      <c r="D145" s="200"/>
      <c r="E145" s="9"/>
      <c r="F145" s="94" t="str">
        <f t="shared" si="2"/>
        <v>Software Licensing</v>
      </c>
      <c r="G145" s="86"/>
      <c r="H145" s="101"/>
      <c r="I145" s="27">
        <f t="shared" si="3"/>
        <v>9.6153846153846159E-2</v>
      </c>
      <c r="J145" s="24">
        <f t="shared" si="4"/>
        <v>9.6153846153846159E-2</v>
      </c>
      <c r="K145" s="97" t="s">
        <v>178</v>
      </c>
      <c r="L145" s="92"/>
      <c r="N145" s="130"/>
      <c r="O145" s="130"/>
    </row>
    <row r="146" spans="1:19" customFormat="1" ht="15" customHeight="1">
      <c r="A146" s="8"/>
      <c r="B146" s="8"/>
      <c r="C146" s="58"/>
      <c r="D146" s="200"/>
      <c r="E146" s="9"/>
      <c r="F146" s="94" t="str">
        <f t="shared" si="2"/>
        <v>ECMS</v>
      </c>
      <c r="G146" s="86"/>
      <c r="H146" s="101"/>
      <c r="I146" s="27">
        <f t="shared" si="3"/>
        <v>1.4423076923076924E-3</v>
      </c>
      <c r="J146" s="24">
        <f t="shared" si="4"/>
        <v>1.4423076923076924E-3</v>
      </c>
      <c r="K146" s="97" t="s">
        <v>178</v>
      </c>
      <c r="L146" s="92"/>
      <c r="N146" s="130"/>
      <c r="O146" s="130"/>
    </row>
    <row r="147" spans="1:19" customFormat="1" ht="15" customHeight="1">
      <c r="A147" s="8"/>
      <c r="B147" s="8"/>
      <c r="C147" s="58"/>
      <c r="D147" s="200"/>
      <c r="E147" s="9"/>
      <c r="F147" s="98" t="str">
        <f t="shared" si="2"/>
        <v>&lt;other item&gt;</v>
      </c>
      <c r="G147" s="100"/>
      <c r="H147" s="103"/>
      <c r="I147" s="24">
        <v>0</v>
      </c>
      <c r="J147" s="24">
        <f t="shared" ref="J147" si="5">I147</f>
        <v>0</v>
      </c>
      <c r="K147" s="61"/>
      <c r="L147" s="92"/>
    </row>
    <row r="148" spans="1:19" customFormat="1" ht="15" customHeight="1">
      <c r="A148" s="8"/>
      <c r="B148" s="8"/>
      <c r="C148" s="58"/>
      <c r="D148" s="93"/>
      <c r="E148" s="9"/>
      <c r="F148" s="16"/>
      <c r="G148" s="16"/>
      <c r="H148" s="16"/>
      <c r="I148" s="22">
        <f>SUM(I140:I147)</f>
        <v>0.56874999999999998</v>
      </c>
      <c r="J148" s="22">
        <f>SUM(J140:J147)</f>
        <v>0.56874999999999998</v>
      </c>
      <c r="K148" s="16"/>
    </row>
    <row r="149" spans="1:19" customFormat="1" ht="15" customHeight="1">
      <c r="A149" s="8"/>
      <c r="B149" s="8"/>
      <c r="C149" s="58"/>
      <c r="D149" s="9"/>
      <c r="E149" s="9"/>
      <c r="F149" s="55" t="s">
        <v>179</v>
      </c>
      <c r="G149" s="55" t="s">
        <v>180</v>
      </c>
      <c r="H149" s="56" t="s">
        <v>181</v>
      </c>
      <c r="I149" s="56"/>
      <c r="J149" s="55" t="s">
        <v>179</v>
      </c>
      <c r="K149" s="55" t="s">
        <v>180</v>
      </c>
      <c r="L149" s="17"/>
    </row>
    <row r="150" spans="1:19" s="63" customFormat="1" ht="15" customHeight="1">
      <c r="A150" s="110"/>
      <c r="B150" s="110"/>
      <c r="C150" s="111"/>
      <c r="D150" s="112"/>
      <c r="E150" s="112"/>
      <c r="F150" s="124" t="s">
        <v>182</v>
      </c>
      <c r="G150" s="125"/>
      <c r="H150" s="126"/>
      <c r="I150" s="123">
        <f>I127+I137+I148</f>
        <v>2.7253347990015682</v>
      </c>
      <c r="J150" s="123">
        <f>J127+J137+J148</f>
        <v>2.7637963374631069</v>
      </c>
      <c r="K150" s="113"/>
      <c r="L150" s="114"/>
      <c r="N150"/>
    </row>
    <row r="151" spans="1:19" s="63" customFormat="1" ht="15" customHeight="1">
      <c r="A151" s="110"/>
      <c r="B151" s="110"/>
      <c r="C151" s="111"/>
      <c r="D151" s="112"/>
      <c r="E151" s="112"/>
      <c r="F151" s="20"/>
      <c r="G151" s="113"/>
      <c r="H151" s="114"/>
      <c r="I151" s="26"/>
      <c r="J151" s="26"/>
      <c r="K151" s="113"/>
      <c r="L151" s="114"/>
      <c r="N151"/>
    </row>
    <row r="152" spans="1:19" s="63" customFormat="1" ht="15" customHeight="1">
      <c r="A152" s="110"/>
      <c r="B152" s="110"/>
      <c r="C152" s="111"/>
      <c r="D152" s="112"/>
      <c r="E152" s="112"/>
      <c r="F152" s="20"/>
      <c r="G152" s="113"/>
      <c r="H152" s="114"/>
      <c r="I152" s="114"/>
      <c r="J152" s="26"/>
      <c r="K152" s="113"/>
      <c r="L152" s="114"/>
      <c r="N152"/>
    </row>
    <row r="153" spans="1:19" customFormat="1" ht="15" customHeight="1">
      <c r="A153" s="8"/>
      <c r="B153" s="8"/>
      <c r="C153" s="58"/>
      <c r="D153" s="9"/>
      <c r="E153" s="9"/>
      <c r="F153" s="59" t="s">
        <v>183</v>
      </c>
      <c r="G153" s="39"/>
      <c r="H153" s="39"/>
      <c r="I153" s="39"/>
      <c r="J153" s="40"/>
      <c r="K153" s="40"/>
      <c r="L153" s="40"/>
      <c r="O153" s="63"/>
      <c r="P153" s="63"/>
      <c r="Q153" s="63"/>
      <c r="R153" s="63"/>
      <c r="S153" s="63"/>
    </row>
    <row r="154" spans="1:19" customFormat="1" ht="15" customHeight="1">
      <c r="A154" s="8"/>
      <c r="B154" s="8"/>
      <c r="C154" s="58"/>
      <c r="D154" s="201" t="s">
        <v>184</v>
      </c>
      <c r="E154" s="9"/>
      <c r="F154" s="46" t="s">
        <v>150</v>
      </c>
      <c r="G154" s="47"/>
      <c r="H154" s="47"/>
      <c r="I154" s="48"/>
      <c r="J154" s="48"/>
      <c r="K154" s="204"/>
      <c r="L154" s="205"/>
      <c r="O154" s="63"/>
      <c r="P154" s="63"/>
      <c r="Q154" s="63"/>
      <c r="R154" s="63"/>
      <c r="S154" s="63"/>
    </row>
    <row r="155" spans="1:19" customFormat="1" ht="15" customHeight="1">
      <c r="A155" s="8"/>
      <c r="B155" s="8"/>
      <c r="C155" s="58"/>
      <c r="D155" s="202"/>
      <c r="E155" s="9"/>
      <c r="F155" s="21" t="s">
        <v>151</v>
      </c>
      <c r="G155" s="21" t="s">
        <v>54</v>
      </c>
      <c r="H155" s="41">
        <f>G26</f>
        <v>2000</v>
      </c>
      <c r="I155" s="27">
        <f>(((G23*G21)*H155)/((H18+H19)*G13))*(H19/(H18+H19))</f>
        <v>3.8461538461538464E-2</v>
      </c>
      <c r="J155" s="27">
        <f>(((G24*G21)*H155)/(G12*G13))*(H19/(H18+H19))</f>
        <v>0.10256410256410256</v>
      </c>
      <c r="K155" s="88" t="s">
        <v>152</v>
      </c>
      <c r="L155" s="33"/>
      <c r="O155" s="63"/>
      <c r="P155" s="63"/>
      <c r="Q155" s="63"/>
      <c r="R155" s="63"/>
      <c r="S155" s="63"/>
    </row>
    <row r="156" spans="1:19" customFormat="1" ht="15" customHeight="1">
      <c r="A156" s="8"/>
      <c r="B156" s="8"/>
      <c r="C156" s="58"/>
      <c r="D156" s="202"/>
      <c r="E156" s="9"/>
      <c r="F156" s="21" t="s">
        <v>153</v>
      </c>
      <c r="G156" s="21" t="s">
        <v>154</v>
      </c>
      <c r="H156" s="30">
        <f>H124</f>
        <v>0.05</v>
      </c>
      <c r="I156" s="27">
        <f>((I65+I74+I96+I105)*H156)*(H19/(H18+H19))</f>
        <v>0.61180670342884624</v>
      </c>
      <c r="J156" s="27">
        <f>((J65+J74+J96+J105)*H156)*(H19/(H18+H19))</f>
        <v>0.61180670342884624</v>
      </c>
      <c r="K156" s="88" t="s">
        <v>155</v>
      </c>
      <c r="L156" s="33"/>
      <c r="O156" s="63"/>
      <c r="P156" s="63"/>
      <c r="Q156" s="63"/>
      <c r="R156" s="63"/>
      <c r="S156" s="63"/>
    </row>
    <row r="157" spans="1:19" customFormat="1" ht="15" customHeight="1">
      <c r="A157" s="8"/>
      <c r="B157" s="8"/>
      <c r="C157" s="58"/>
      <c r="D157" s="202"/>
      <c r="E157" s="9"/>
      <c r="F157" s="21" t="s">
        <v>156</v>
      </c>
      <c r="G157" s="21" t="s">
        <v>157</v>
      </c>
      <c r="H157" s="30">
        <f>H125</f>
        <v>0.02</v>
      </c>
      <c r="I157" s="27">
        <f>((I65+I74+I96+I105)*H157)*(H19/(H18+H19))</f>
        <v>0.24472268137153846</v>
      </c>
      <c r="J157" s="27">
        <f>((J65+J74+J96+J105)*H157)*(H19/(H18+H19))</f>
        <v>0.24472268137153846</v>
      </c>
      <c r="K157" s="88" t="s">
        <v>155</v>
      </c>
      <c r="L157" s="33"/>
      <c r="O157" s="63"/>
      <c r="P157" s="63"/>
      <c r="Q157" s="63"/>
      <c r="R157" s="63"/>
      <c r="S157" s="63"/>
    </row>
    <row r="158" spans="1:19" customFormat="1" ht="15" customHeight="1">
      <c r="A158" s="8"/>
      <c r="B158" s="8"/>
      <c r="C158" s="58"/>
      <c r="D158" s="202"/>
      <c r="E158" s="9"/>
      <c r="F158" s="23" t="s">
        <v>96</v>
      </c>
      <c r="G158" s="23"/>
      <c r="H158" s="30"/>
      <c r="I158" s="24">
        <v>0</v>
      </c>
      <c r="J158" s="24">
        <f>I158</f>
        <v>0</v>
      </c>
      <c r="K158" s="82"/>
      <c r="L158" s="92"/>
      <c r="O158" s="63"/>
      <c r="P158" s="63"/>
      <c r="Q158" s="63"/>
      <c r="R158" s="63"/>
      <c r="S158" s="63"/>
    </row>
    <row r="159" spans="1:19" customFormat="1" ht="15" customHeight="1">
      <c r="A159" s="8"/>
      <c r="B159" s="8"/>
      <c r="C159" s="58"/>
      <c r="D159" s="70"/>
      <c r="E159" s="9"/>
      <c r="F159" s="68"/>
      <c r="G159" s="68"/>
      <c r="H159" s="90"/>
      <c r="I159" s="66">
        <f>SUM(I155:I158)</f>
        <v>0.89499092326192309</v>
      </c>
      <c r="J159" s="66">
        <f>SUM(J155:J158)</f>
        <v>0.95909348736448718</v>
      </c>
      <c r="K159" s="89"/>
      <c r="L159" s="91"/>
      <c r="O159" s="63"/>
      <c r="P159" s="63"/>
      <c r="Q159" s="63"/>
      <c r="R159" s="63"/>
      <c r="S159" s="63"/>
    </row>
    <row r="160" spans="1:19" customFormat="1" ht="15" customHeight="1">
      <c r="A160" s="8"/>
      <c r="B160" s="8"/>
      <c r="C160" s="58"/>
      <c r="D160" s="9"/>
      <c r="E160" s="9"/>
      <c r="F160" s="16"/>
      <c r="G160" s="16"/>
      <c r="H160" s="16"/>
      <c r="I160" s="16"/>
      <c r="J160" s="19"/>
      <c r="K160" s="26"/>
      <c r="L160" s="17"/>
      <c r="O160" s="63"/>
      <c r="P160" s="63"/>
      <c r="Q160" s="63"/>
      <c r="R160" s="63"/>
      <c r="S160" s="63"/>
    </row>
    <row r="161" spans="1:19" customFormat="1" ht="15" customHeight="1">
      <c r="A161" s="8"/>
      <c r="B161" s="8"/>
      <c r="C161" s="58"/>
      <c r="D161" s="200" t="s">
        <v>185</v>
      </c>
      <c r="E161" s="9"/>
      <c r="F161" s="46" t="s">
        <v>159</v>
      </c>
      <c r="G161" s="47"/>
      <c r="H161" s="95"/>
      <c r="I161" s="50"/>
      <c r="J161" s="96"/>
      <c r="K161" s="205" t="s">
        <v>160</v>
      </c>
      <c r="L161" s="205"/>
      <c r="O161" s="63"/>
      <c r="P161" s="63"/>
      <c r="Q161" s="63"/>
      <c r="R161" s="63"/>
      <c r="S161" s="63"/>
    </row>
    <row r="162" spans="1:19" customFormat="1" ht="15" customHeight="1">
      <c r="A162" s="8"/>
      <c r="B162" s="8"/>
      <c r="C162" s="58"/>
      <c r="D162" s="200"/>
      <c r="E162" s="9"/>
      <c r="F162" s="21" t="s">
        <v>161</v>
      </c>
      <c r="G162" s="21"/>
      <c r="H162" s="60"/>
      <c r="I162" s="27">
        <f>(I37/($G$13*$H$18))*($H$19/($H$18+$H$19))</f>
        <v>0.24547384615384618</v>
      </c>
      <c r="J162" s="24">
        <f>I162</f>
        <v>0.24547384615384618</v>
      </c>
      <c r="K162" s="97" t="s">
        <v>162</v>
      </c>
      <c r="L162" s="25"/>
      <c r="O162" s="63"/>
      <c r="P162" s="63"/>
      <c r="Q162" s="63"/>
      <c r="R162" s="63"/>
      <c r="S162" s="63"/>
    </row>
    <row r="163" spans="1:19" customFormat="1" ht="15" customHeight="1">
      <c r="A163" s="8"/>
      <c r="B163" s="8"/>
      <c r="C163" s="58"/>
      <c r="D163" s="200"/>
      <c r="E163" s="9"/>
      <c r="F163" s="21" t="s">
        <v>163</v>
      </c>
      <c r="G163" s="21"/>
      <c r="H163" s="60"/>
      <c r="I163" s="27">
        <f>(I38/($G$13*$H$18))*($H$19/($H$18+$H$19))</f>
        <v>0.34366338461538459</v>
      </c>
      <c r="J163" s="24">
        <f>I163</f>
        <v>0.34366338461538459</v>
      </c>
      <c r="K163" s="97" t="s">
        <v>162</v>
      </c>
      <c r="L163" s="25"/>
      <c r="O163" s="63"/>
      <c r="P163" s="63"/>
      <c r="Q163" s="63"/>
      <c r="R163" s="63"/>
      <c r="S163" s="63"/>
    </row>
    <row r="164" spans="1:19" customFormat="1" ht="15" customHeight="1">
      <c r="A164" s="8"/>
      <c r="B164" s="8"/>
      <c r="C164" s="58"/>
      <c r="D164" s="200"/>
      <c r="E164" s="9"/>
      <c r="F164" s="94" t="s">
        <v>77</v>
      </c>
      <c r="G164" s="21" t="s">
        <v>164</v>
      </c>
      <c r="H164" s="60"/>
      <c r="I164" s="27">
        <f>(I39/($G$13*$H$18))*($H$19/($H$18+$H$19))</f>
        <v>0.28229492307692311</v>
      </c>
      <c r="J164" s="24">
        <f t="shared" ref="J164:J165" si="6">I164</f>
        <v>0.28229492307692311</v>
      </c>
      <c r="K164" s="97" t="s">
        <v>165</v>
      </c>
      <c r="L164" s="92"/>
      <c r="O164" s="63"/>
      <c r="P164" s="63"/>
      <c r="Q164" s="63"/>
      <c r="R164" s="63"/>
      <c r="S164" s="63"/>
    </row>
    <row r="165" spans="1:19" customFormat="1" ht="15" customHeight="1">
      <c r="A165" s="8"/>
      <c r="B165" s="8"/>
      <c r="C165" s="58"/>
      <c r="D165" s="200"/>
      <c r="E165" s="9"/>
      <c r="F165" s="94" t="s">
        <v>166</v>
      </c>
      <c r="G165" s="21" t="s">
        <v>167</v>
      </c>
      <c r="H165" s="60"/>
      <c r="I165" s="27">
        <f>(I40/($G$13*$H$18))*($H$19/($H$18+$H$19))</f>
        <v>0.24547384615384618</v>
      </c>
      <c r="J165" s="24">
        <f t="shared" si="6"/>
        <v>0.24547384615384618</v>
      </c>
      <c r="K165" s="97" t="s">
        <v>168</v>
      </c>
      <c r="L165" s="25"/>
      <c r="O165" s="63"/>
      <c r="P165" s="63"/>
      <c r="Q165" s="63"/>
      <c r="R165" s="63"/>
      <c r="S165" s="63"/>
    </row>
    <row r="166" spans="1:19" customFormat="1" ht="15" customHeight="1">
      <c r="A166" s="8"/>
      <c r="B166" s="8"/>
      <c r="C166" s="58"/>
      <c r="D166" s="200"/>
      <c r="E166" s="9"/>
      <c r="F166" s="21" t="s">
        <v>169</v>
      </c>
      <c r="G166" s="21"/>
      <c r="H166" s="24">
        <v>1</v>
      </c>
      <c r="I166" s="28">
        <f>IF(G23&gt;0,1/G19,0)</f>
        <v>0.04</v>
      </c>
      <c r="J166" s="24">
        <f>I166</f>
        <v>0.04</v>
      </c>
      <c r="K166" s="61" t="s">
        <v>170</v>
      </c>
      <c r="L166" s="92"/>
      <c r="O166" s="63"/>
      <c r="P166" s="63"/>
      <c r="Q166" s="63"/>
      <c r="R166" s="63"/>
      <c r="S166" s="63"/>
    </row>
    <row r="167" spans="1:19" customFormat="1" ht="15" customHeight="1">
      <c r="A167" s="8"/>
      <c r="B167" s="8"/>
      <c r="C167" s="58"/>
      <c r="D167" s="200"/>
      <c r="E167" s="9"/>
      <c r="F167" s="21" t="s">
        <v>171</v>
      </c>
      <c r="G167" s="21" t="s">
        <v>172</v>
      </c>
      <c r="H167" s="24">
        <f>G31/G25/G13</f>
        <v>0.96153846153846156</v>
      </c>
      <c r="I167" s="27">
        <f>IF(G23&gt;0,((H167*G25)*(H19/(H18+H19)))/H19,0)</f>
        <v>7.2115384615384609E-2</v>
      </c>
      <c r="J167" s="24">
        <f>IF(G23&gt;0,((H167*G25)*(H19/(H18+H19)))/H19,0)</f>
        <v>7.2115384615384609E-2</v>
      </c>
      <c r="K167" s="116" t="s">
        <v>155</v>
      </c>
      <c r="L167" s="92"/>
      <c r="O167" s="63"/>
      <c r="P167" s="63"/>
      <c r="Q167" s="63"/>
      <c r="R167" s="63"/>
      <c r="S167" s="63"/>
    </row>
    <row r="168" spans="1:19" customFormat="1" ht="15" customHeight="1">
      <c r="A168" s="8"/>
      <c r="B168" s="8"/>
      <c r="C168" s="58"/>
      <c r="D168" s="200"/>
      <c r="E168" s="9"/>
      <c r="F168" s="21" t="s">
        <v>173</v>
      </c>
      <c r="G168" s="21" t="s">
        <v>174</v>
      </c>
      <c r="H168" s="69">
        <v>90</v>
      </c>
      <c r="I168" s="27">
        <f>IF(G23&gt;0,(((90/60)*J39*G25)*(H19/(H18+H19)))/(H19*G13),0)</f>
        <v>3.2572491124260361E-2</v>
      </c>
      <c r="J168" s="24">
        <f>IF(G23&gt;0,(((H168/60)*J39*G25)*(H19/(H18+H19)))/(H19*G13),0)</f>
        <v>3.2572491124260361E-2</v>
      </c>
      <c r="K168" s="116" t="s">
        <v>175</v>
      </c>
      <c r="L168" s="92"/>
      <c r="O168" s="63"/>
      <c r="P168" s="63"/>
      <c r="Q168" s="63"/>
      <c r="R168" s="63"/>
      <c r="S168" s="63"/>
    </row>
    <row r="169" spans="1:19" customFormat="1" ht="15" customHeight="1">
      <c r="A169" s="8"/>
      <c r="B169" s="8"/>
      <c r="C169" s="58"/>
      <c r="D169" s="70"/>
      <c r="E169" s="9"/>
      <c r="F169" s="68"/>
      <c r="G169" s="68"/>
      <c r="H169" s="67"/>
      <c r="I169" s="22">
        <f>SUM(I162:I168)</f>
        <v>1.261593875739645</v>
      </c>
      <c r="J169" s="22">
        <f>SUM(J162:J168)</f>
        <v>1.261593875739645</v>
      </c>
      <c r="L169" s="17"/>
    </row>
    <row r="170" spans="1:19" customFormat="1" ht="15" customHeight="1">
      <c r="A170" s="8"/>
      <c r="B170" s="8"/>
      <c r="C170" s="58"/>
      <c r="D170" s="9"/>
      <c r="E170" s="9"/>
      <c r="F170" s="16"/>
      <c r="G170" s="16"/>
      <c r="H170" s="16"/>
      <c r="I170" s="16"/>
      <c r="J170" s="19"/>
      <c r="K170" s="19"/>
      <c r="L170" s="17"/>
    </row>
    <row r="171" spans="1:19" customFormat="1" ht="15" customHeight="1">
      <c r="A171" s="8"/>
      <c r="B171" s="8"/>
      <c r="C171" s="58"/>
      <c r="D171" s="200" t="s">
        <v>186</v>
      </c>
      <c r="E171" s="9"/>
      <c r="F171" s="46" t="s">
        <v>177</v>
      </c>
      <c r="G171" s="47"/>
      <c r="H171" s="49"/>
      <c r="I171" s="50"/>
      <c r="J171" s="96"/>
      <c r="K171" s="205" t="s">
        <v>160</v>
      </c>
      <c r="L171" s="205"/>
    </row>
    <row r="172" spans="1:19" customFormat="1" ht="15" customHeight="1">
      <c r="A172" s="8"/>
      <c r="B172" s="8"/>
      <c r="C172" s="58"/>
      <c r="D172" s="200"/>
      <c r="E172" s="9"/>
      <c r="F172" s="94" t="str">
        <f t="shared" ref="F172:F179" si="7">F140</f>
        <v>Premises, utilities and services</v>
      </c>
      <c r="G172" s="86"/>
      <c r="H172" s="101"/>
      <c r="I172" s="27">
        <f>IF(G23&gt;0,(I45/($H$19*$G$13))*($H$18/($H$18+$H$19)),0)</f>
        <v>0.19230769230769232</v>
      </c>
      <c r="J172" s="27">
        <f>I172</f>
        <v>0.19230769230769232</v>
      </c>
      <c r="K172" s="97" t="s">
        <v>178</v>
      </c>
      <c r="L172" s="25"/>
      <c r="N172" s="130"/>
      <c r="O172" s="130"/>
    </row>
    <row r="173" spans="1:19" customFormat="1" ht="15" customHeight="1">
      <c r="A173" s="8"/>
      <c r="B173" s="8"/>
      <c r="C173" s="58"/>
      <c r="D173" s="200"/>
      <c r="E173" s="9"/>
      <c r="F173" s="94" t="str">
        <f t="shared" si="7"/>
        <v>Consumables and stationary</v>
      </c>
      <c r="G173" s="86"/>
      <c r="H173" s="101"/>
      <c r="I173" s="27">
        <f>IF(G23&gt;0,(I46/($H$19*$G$13))*($H$18/($H$18+$H$19)),0)</f>
        <v>1.9230769230769232E-2</v>
      </c>
      <c r="J173" s="27">
        <f t="shared" ref="J173:J179" si="8">I173</f>
        <v>1.9230769230769232E-2</v>
      </c>
      <c r="K173" s="97" t="s">
        <v>178</v>
      </c>
      <c r="L173" s="25"/>
      <c r="N173" s="130"/>
      <c r="O173" s="130"/>
    </row>
    <row r="174" spans="1:19" customFormat="1" ht="15" customHeight="1">
      <c r="A174" s="8"/>
      <c r="B174" s="8"/>
      <c r="C174" s="58"/>
      <c r="D174" s="200"/>
      <c r="E174" s="9"/>
      <c r="F174" s="94" t="str">
        <f t="shared" si="7"/>
        <v>Professional Costs</v>
      </c>
      <c r="G174" s="86"/>
      <c r="H174" s="101"/>
      <c r="I174" s="27">
        <f>IF(G23&gt;0,(I47/($H$19*$G$13))*($H$18/($H$18+$H$19)),0)</f>
        <v>0.14423076923076922</v>
      </c>
      <c r="J174" s="27">
        <f t="shared" si="8"/>
        <v>0.14423076923076922</v>
      </c>
      <c r="K174" s="97" t="s">
        <v>178</v>
      </c>
      <c r="L174" s="25"/>
      <c r="N174" s="130"/>
      <c r="O174" s="130"/>
    </row>
    <row r="175" spans="1:19" customFormat="1" ht="15" customHeight="1">
      <c r="A175" s="8"/>
      <c r="B175" s="8"/>
      <c r="C175" s="58"/>
      <c r="D175" s="200"/>
      <c r="E175" s="9"/>
      <c r="F175" s="94" t="str">
        <f t="shared" si="7"/>
        <v>Insurance</v>
      </c>
      <c r="G175" s="86"/>
      <c r="H175" s="101"/>
      <c r="I175" s="27">
        <f>IF(G23&gt;0,(I48/($H$19*$G$13))*($H$18/($H$18+$H$19)),0)</f>
        <v>9.6153846153846159E-2</v>
      </c>
      <c r="J175" s="27">
        <f t="shared" si="8"/>
        <v>9.6153846153846159E-2</v>
      </c>
      <c r="K175" s="97" t="s">
        <v>178</v>
      </c>
      <c r="L175" s="92"/>
      <c r="N175" s="130"/>
      <c r="O175" s="130"/>
    </row>
    <row r="176" spans="1:19" customFormat="1" ht="15" customHeight="1">
      <c r="A176" s="8"/>
      <c r="B176" s="8"/>
      <c r="C176" s="58"/>
      <c r="D176" s="200"/>
      <c r="E176" s="9"/>
      <c r="F176" s="94" t="str">
        <f t="shared" si="7"/>
        <v>Marketing/customer experience (eg website)</v>
      </c>
      <c r="G176" s="86"/>
      <c r="H176" s="101"/>
      <c r="I176" s="27">
        <f>IF(G23&gt;0,(I49/($H$19*$G$13))*($H$18/($H$18+$H$19)),0)</f>
        <v>1.9230769230769232E-2</v>
      </c>
      <c r="J176" s="27">
        <f t="shared" si="8"/>
        <v>1.9230769230769232E-2</v>
      </c>
      <c r="K176" s="97" t="s">
        <v>178</v>
      </c>
      <c r="L176" s="92"/>
      <c r="N176" s="130"/>
      <c r="O176" s="130"/>
    </row>
    <row r="177" spans="1:15" customFormat="1" ht="15" customHeight="1">
      <c r="A177" s="8"/>
      <c r="B177" s="8"/>
      <c r="C177" s="58"/>
      <c r="D177" s="200"/>
      <c r="E177" s="9"/>
      <c r="F177" s="94" t="str">
        <f t="shared" si="7"/>
        <v>Software Licensing</v>
      </c>
      <c r="G177" s="86"/>
      <c r="H177" s="101"/>
      <c r="I177" s="27">
        <f>IF(G23&gt;0,(I50/($H$19*$G$13))*($H$18/($H$18+$H$19)),0)</f>
        <v>9.6153846153846159E-2</v>
      </c>
      <c r="J177" s="27">
        <f t="shared" si="8"/>
        <v>9.6153846153846159E-2</v>
      </c>
      <c r="K177" s="97" t="s">
        <v>178</v>
      </c>
      <c r="L177" s="92"/>
      <c r="N177" s="130"/>
      <c r="O177" s="130"/>
    </row>
    <row r="178" spans="1:15" customFormat="1" ht="15" customHeight="1">
      <c r="A178" s="8"/>
      <c r="B178" s="8"/>
      <c r="C178" s="58"/>
      <c r="D178" s="200"/>
      <c r="E178" s="9"/>
      <c r="F178" s="94" t="str">
        <f t="shared" si="7"/>
        <v>ECMS</v>
      </c>
      <c r="G178" s="86"/>
      <c r="H178" s="101"/>
      <c r="I178" s="27">
        <f>IF(G23&gt;0,(I51/($H$19*$G$13))*($H$18/($H$18+$H$19)),0)</f>
        <v>1.4423076923076924E-3</v>
      </c>
      <c r="J178" s="27">
        <f t="shared" si="8"/>
        <v>1.4423076923076924E-3</v>
      </c>
      <c r="K178" s="97" t="s">
        <v>178</v>
      </c>
      <c r="L178" s="92"/>
      <c r="N178" s="130"/>
      <c r="O178" s="130"/>
    </row>
    <row r="179" spans="1:15" customFormat="1" ht="15" customHeight="1">
      <c r="A179" s="8"/>
      <c r="B179" s="8"/>
      <c r="C179" s="58"/>
      <c r="D179" s="200"/>
      <c r="E179" s="9"/>
      <c r="F179" s="98" t="str">
        <f t="shared" si="7"/>
        <v>&lt;other item&gt;</v>
      </c>
      <c r="G179" s="100"/>
      <c r="H179" s="103"/>
      <c r="I179" s="24">
        <v>0</v>
      </c>
      <c r="J179" s="24">
        <f t="shared" si="8"/>
        <v>0</v>
      </c>
      <c r="K179" s="61"/>
      <c r="L179" s="92"/>
      <c r="N179" s="130"/>
      <c r="O179" s="130"/>
    </row>
    <row r="180" spans="1:15" customFormat="1" ht="15" customHeight="1">
      <c r="A180" s="8"/>
      <c r="B180" s="8"/>
      <c r="C180" s="58"/>
      <c r="D180" s="93"/>
      <c r="E180" s="9"/>
      <c r="F180" s="16"/>
      <c r="G180" s="16"/>
      <c r="H180" s="16"/>
      <c r="I180" s="22">
        <f>SUM(I172:I179)</f>
        <v>0.56874999999999998</v>
      </c>
      <c r="J180" s="22">
        <f>SUM(J172:J179)</f>
        <v>0.56874999999999998</v>
      </c>
      <c r="K180" s="16"/>
    </row>
    <row r="181" spans="1:15" customFormat="1" ht="15" customHeight="1">
      <c r="A181" s="8"/>
      <c r="B181" s="8"/>
      <c r="C181" s="58"/>
      <c r="D181" s="9"/>
      <c r="E181" s="9"/>
      <c r="F181" s="55" t="s">
        <v>179</v>
      </c>
      <c r="G181" s="55" t="s">
        <v>180</v>
      </c>
      <c r="H181" s="56" t="s">
        <v>181</v>
      </c>
      <c r="I181" s="56"/>
      <c r="J181" s="55" t="s">
        <v>179</v>
      </c>
      <c r="K181" s="55"/>
      <c r="L181" s="17"/>
    </row>
    <row r="182" spans="1:15" s="63" customFormat="1" ht="15" customHeight="1">
      <c r="A182" s="110"/>
      <c r="B182" s="110"/>
      <c r="C182" s="111"/>
      <c r="D182" s="112"/>
      <c r="E182" s="112"/>
      <c r="F182" s="124" t="s">
        <v>187</v>
      </c>
      <c r="G182" s="125"/>
      <c r="H182" s="126"/>
      <c r="I182" s="123">
        <f>I159+I169+I180</f>
        <v>2.7253347990015682</v>
      </c>
      <c r="J182" s="123">
        <f>J159+J169+J180</f>
        <v>2.7894373631041325</v>
      </c>
      <c r="K182" s="55"/>
      <c r="L182" s="114"/>
    </row>
    <row r="183" spans="1:15" s="63" customFormat="1" ht="15" customHeight="1">
      <c r="A183" s="110"/>
      <c r="B183" s="110"/>
      <c r="C183" s="111"/>
      <c r="D183" s="112"/>
      <c r="E183" s="112"/>
      <c r="G183" s="113"/>
      <c r="H183" s="114"/>
      <c r="I183" s="114"/>
      <c r="J183" s="113"/>
      <c r="K183" s="113"/>
      <c r="L183" s="114"/>
    </row>
    <row r="184" spans="1:15" s="63" customFormat="1" ht="15" customHeight="1">
      <c r="A184" s="110"/>
      <c r="B184" s="110"/>
      <c r="C184" s="111"/>
      <c r="D184" s="112"/>
      <c r="E184" s="112"/>
      <c r="F184" s="113"/>
      <c r="G184" s="113"/>
      <c r="H184" s="114"/>
      <c r="I184" s="114"/>
      <c r="J184" s="113"/>
      <c r="K184" s="113"/>
      <c r="L184" s="114"/>
    </row>
    <row r="185" spans="1:15" customFormat="1" ht="15" customHeight="1">
      <c r="A185" s="8"/>
      <c r="B185" s="8"/>
      <c r="C185" s="58"/>
      <c r="D185" s="9"/>
      <c r="E185" s="9"/>
      <c r="F185" s="59" t="s">
        <v>188</v>
      </c>
      <c r="G185" s="39"/>
      <c r="H185" s="39"/>
      <c r="I185" s="39"/>
      <c r="J185" s="40"/>
      <c r="K185" s="40"/>
      <c r="L185" s="40"/>
    </row>
    <row r="186" spans="1:15" s="63" customFormat="1" ht="15" customHeight="1">
      <c r="A186" s="110"/>
      <c r="B186" s="110"/>
      <c r="C186" s="111"/>
      <c r="D186" s="112"/>
      <c r="E186" s="112"/>
      <c r="F186" s="113"/>
      <c r="G186" s="113"/>
      <c r="H186" s="114"/>
      <c r="I186" s="114"/>
      <c r="J186" s="113"/>
      <c r="K186" s="113"/>
      <c r="L186" s="114"/>
    </row>
    <row r="187" spans="1:15" s="63" customFormat="1" ht="30.75" customHeight="1">
      <c r="A187" s="110"/>
      <c r="B187" s="110"/>
      <c r="C187" s="111"/>
      <c r="D187" s="112"/>
      <c r="E187" s="112"/>
      <c r="F187" s="146" t="s">
        <v>189</v>
      </c>
      <c r="G187" s="113"/>
      <c r="H187" s="114"/>
      <c r="I187" s="133" t="s">
        <v>100</v>
      </c>
      <c r="J187" s="133" t="s">
        <v>101</v>
      </c>
      <c r="K187" s="113"/>
      <c r="L187" s="114"/>
    </row>
    <row r="188" spans="1:15" s="63" customFormat="1" ht="15" customHeight="1">
      <c r="A188" s="110"/>
      <c r="B188" s="110"/>
      <c r="C188" s="111"/>
      <c r="D188" s="112"/>
      <c r="E188" s="112"/>
      <c r="F188" s="143" t="s">
        <v>190</v>
      </c>
      <c r="G188" s="125"/>
      <c r="H188" s="126"/>
      <c r="I188" s="144">
        <f>I87</f>
        <v>13.380353101304618</v>
      </c>
      <c r="J188" s="144">
        <f>J87</f>
        <v>13.380353101304618</v>
      </c>
      <c r="K188" s="113"/>
      <c r="L188" s="195" t="s">
        <v>191</v>
      </c>
    </row>
    <row r="189" spans="1:15" s="63" customFormat="1" ht="15" customHeight="1">
      <c r="A189" s="110"/>
      <c r="B189" s="110"/>
      <c r="C189" s="111"/>
      <c r="D189" s="112"/>
      <c r="E189" s="112"/>
      <c r="F189" s="143" t="s">
        <v>192</v>
      </c>
      <c r="G189" s="125"/>
      <c r="H189" s="126"/>
      <c r="I189" s="144">
        <f>I150</f>
        <v>2.7253347990015682</v>
      </c>
      <c r="J189" s="144">
        <f>J150</f>
        <v>2.7637963374631069</v>
      </c>
      <c r="K189" s="113"/>
      <c r="L189" s="196"/>
    </row>
    <row r="190" spans="1:15" s="63" customFormat="1" ht="15" customHeight="1">
      <c r="A190" s="110"/>
      <c r="B190" s="110"/>
      <c r="C190" s="111"/>
      <c r="D190" s="112"/>
      <c r="E190" s="112"/>
      <c r="F190" s="143" t="s">
        <v>193</v>
      </c>
      <c r="G190" s="125"/>
      <c r="H190" s="145">
        <v>0.05</v>
      </c>
      <c r="I190" s="144">
        <f>H190*(I188+I189)</f>
        <v>0.80528439501530935</v>
      </c>
      <c r="J190" s="144">
        <f>H190*(J188+J189)</f>
        <v>0.80720747193838616</v>
      </c>
      <c r="K190" s="113"/>
      <c r="L190" s="196"/>
    </row>
    <row r="191" spans="1:15" s="63" customFormat="1" ht="15" customHeight="1">
      <c r="A191" s="110"/>
      <c r="B191" s="110"/>
      <c r="C191" s="111"/>
      <c r="D191" s="112"/>
      <c r="E191" s="112"/>
      <c r="F191" s="124" t="s">
        <v>194</v>
      </c>
      <c r="G191" s="125"/>
      <c r="H191" s="126"/>
      <c r="I191" s="123">
        <f>SUM(I188:I190)</f>
        <v>16.910972295321496</v>
      </c>
      <c r="J191" s="123">
        <f>SUM(J188:J190)</f>
        <v>16.95135691070611</v>
      </c>
      <c r="K191" s="113"/>
      <c r="L191" s="196"/>
    </row>
    <row r="192" spans="1:15" s="63" customFormat="1" ht="15" customHeight="1">
      <c r="A192" s="110"/>
      <c r="B192" s="110"/>
      <c r="C192" s="111"/>
      <c r="D192" s="112"/>
      <c r="E192" s="112"/>
      <c r="F192" s="113"/>
      <c r="G192" s="113"/>
      <c r="H192" s="114"/>
      <c r="I192" s="114"/>
      <c r="J192" s="113"/>
      <c r="K192" s="113"/>
      <c r="L192" s="196"/>
    </row>
    <row r="193" spans="1:12" s="63" customFormat="1" ht="15" customHeight="1">
      <c r="A193" s="110"/>
      <c r="B193" s="110"/>
      <c r="C193" s="111"/>
      <c r="D193" s="112"/>
      <c r="E193" s="112"/>
      <c r="F193" s="146" t="s">
        <v>195</v>
      </c>
      <c r="G193" s="113"/>
      <c r="H193" s="114"/>
      <c r="I193" s="114"/>
      <c r="J193" s="113"/>
      <c r="K193" s="113"/>
      <c r="L193" s="196"/>
    </row>
    <row r="194" spans="1:12" s="63" customFormat="1" ht="15" customHeight="1">
      <c r="A194" s="110"/>
      <c r="B194" s="110"/>
      <c r="C194" s="111"/>
      <c r="D194" s="112"/>
      <c r="E194" s="112"/>
      <c r="F194" s="143" t="s">
        <v>190</v>
      </c>
      <c r="G194" s="125"/>
      <c r="H194" s="126"/>
      <c r="I194" s="144">
        <f>I118</f>
        <v>16.074587212307691</v>
      </c>
      <c r="J194" s="144">
        <f>J118</f>
        <v>16.074587212307691</v>
      </c>
      <c r="K194" s="113"/>
      <c r="L194" s="196"/>
    </row>
    <row r="195" spans="1:12" s="63" customFormat="1" ht="15" customHeight="1">
      <c r="A195" s="110"/>
      <c r="B195" s="110"/>
      <c r="C195" s="111"/>
      <c r="D195" s="112"/>
      <c r="E195" s="112"/>
      <c r="F195" s="143" t="s">
        <v>192</v>
      </c>
      <c r="G195" s="125"/>
      <c r="H195" s="126"/>
      <c r="I195" s="144">
        <f>I182</f>
        <v>2.7253347990015682</v>
      </c>
      <c r="J195" s="144">
        <f>J182</f>
        <v>2.7894373631041325</v>
      </c>
      <c r="K195" s="113"/>
      <c r="L195" s="196"/>
    </row>
    <row r="196" spans="1:12" s="63" customFormat="1" ht="15" customHeight="1">
      <c r="A196" s="110"/>
      <c r="B196" s="110"/>
      <c r="C196" s="111"/>
      <c r="D196" s="112"/>
      <c r="E196" s="112"/>
      <c r="F196" s="143" t="s">
        <v>193</v>
      </c>
      <c r="G196" s="125"/>
      <c r="H196" s="145">
        <v>0.05</v>
      </c>
      <c r="I196" s="144">
        <f>H196*(I194+I195)</f>
        <v>0.93999610056546301</v>
      </c>
      <c r="J196" s="144">
        <f>H196*(J194+J195)</f>
        <v>0.94320122877059109</v>
      </c>
      <c r="K196" s="113"/>
      <c r="L196" s="196"/>
    </row>
    <row r="197" spans="1:12" s="63" customFormat="1" ht="15" customHeight="1">
      <c r="A197" s="110"/>
      <c r="B197" s="110"/>
      <c r="C197" s="111"/>
      <c r="D197" s="112"/>
      <c r="E197" s="112"/>
      <c r="F197" s="124" t="s">
        <v>194</v>
      </c>
      <c r="G197" s="125"/>
      <c r="H197" s="126"/>
      <c r="I197" s="123">
        <f>SUM(I194:I196)</f>
        <v>19.739918111874722</v>
      </c>
      <c r="J197" s="123">
        <f>SUM(J194:J196)</f>
        <v>19.807225804182412</v>
      </c>
      <c r="K197" s="113"/>
      <c r="L197" s="197"/>
    </row>
    <row r="198" spans="1:12" s="63" customFormat="1" ht="15" customHeight="1">
      <c r="A198" s="110"/>
      <c r="B198" s="110"/>
      <c r="C198" s="111"/>
      <c r="D198" s="112"/>
      <c r="E198" s="112"/>
      <c r="F198" s="20"/>
      <c r="G198" s="113"/>
      <c r="H198" s="114"/>
      <c r="I198" s="26"/>
      <c r="J198" s="26"/>
      <c r="K198" s="113"/>
      <c r="L198" s="136"/>
    </row>
    <row r="199" spans="1:12" customFormat="1" ht="15" customHeight="1">
      <c r="A199" s="8"/>
      <c r="B199" s="8"/>
      <c r="C199" s="58"/>
      <c r="D199" s="9"/>
      <c r="E199" s="9"/>
      <c r="F199" s="18"/>
      <c r="G199" s="18"/>
      <c r="H199" s="18"/>
      <c r="I199" s="26"/>
      <c r="J199" s="26"/>
      <c r="L199" s="17"/>
    </row>
    <row r="200" spans="1:12" customFormat="1" ht="15" customHeight="1">
      <c r="A200" s="8"/>
      <c r="B200" s="8"/>
      <c r="C200" s="58"/>
      <c r="D200" s="9"/>
      <c r="E200" s="9"/>
      <c r="F200" s="18"/>
      <c r="G200" s="18"/>
      <c r="H200" s="18"/>
      <c r="I200" s="26"/>
      <c r="J200" s="26"/>
      <c r="L200" s="17"/>
    </row>
    <row r="201" spans="1:12" customFormat="1" ht="15" customHeight="1">
      <c r="A201" s="8"/>
      <c r="B201" s="8"/>
      <c r="C201" s="58"/>
      <c r="D201" s="9"/>
      <c r="E201" s="9"/>
      <c r="F201" s="18"/>
      <c r="G201" s="18"/>
      <c r="H201" s="18"/>
      <c r="I201" s="26"/>
      <c r="J201" s="26"/>
      <c r="L201" s="17"/>
    </row>
    <row r="202" spans="1:12" customFormat="1" ht="15" customHeight="1">
      <c r="A202" s="8"/>
      <c r="B202" s="8"/>
      <c r="C202" s="58"/>
      <c r="D202" s="9"/>
      <c r="E202" s="9"/>
      <c r="F202" s="18"/>
      <c r="G202" s="18"/>
      <c r="H202" s="18"/>
      <c r="I202" s="26"/>
      <c r="J202" s="26"/>
      <c r="L202" s="17"/>
    </row>
    <row r="203" spans="1:12" customFormat="1" ht="15" customHeight="1">
      <c r="A203" s="8"/>
      <c r="B203" s="8"/>
      <c r="C203" s="58"/>
      <c r="D203" s="9"/>
      <c r="E203" s="9"/>
      <c r="F203" s="18"/>
      <c r="G203" s="18"/>
      <c r="H203" s="18"/>
      <c r="I203" s="26"/>
      <c r="J203" s="26"/>
      <c r="L203" s="17"/>
    </row>
    <row r="204" spans="1:12" customFormat="1" ht="15" customHeight="1">
      <c r="A204" s="8"/>
      <c r="B204" s="8"/>
      <c r="C204" s="58"/>
      <c r="D204" s="9"/>
      <c r="E204" s="9"/>
      <c r="F204" s="18"/>
      <c r="G204" s="18"/>
      <c r="H204" s="18"/>
      <c r="I204" s="26"/>
      <c r="J204" s="26"/>
      <c r="L204" s="17"/>
    </row>
    <row r="205" spans="1:12" customFormat="1" ht="15" customHeight="1">
      <c r="A205" s="8"/>
      <c r="B205" s="8"/>
      <c r="C205" s="58"/>
      <c r="D205" s="9"/>
      <c r="E205" s="9"/>
      <c r="F205" s="18"/>
      <c r="G205" s="18"/>
      <c r="H205" s="18"/>
      <c r="I205" s="26"/>
      <c r="J205" s="26"/>
      <c r="L205" s="17"/>
    </row>
    <row r="206" spans="1:12" customFormat="1" ht="15" customHeight="1">
      <c r="A206" s="8"/>
      <c r="B206" s="8"/>
      <c r="C206" s="58"/>
      <c r="D206" s="9"/>
      <c r="E206" s="9"/>
      <c r="F206" s="18"/>
      <c r="G206" s="18"/>
      <c r="H206" s="18"/>
      <c r="I206" s="26"/>
      <c r="J206" s="26"/>
      <c r="L206" s="17"/>
    </row>
    <row r="207" spans="1:12" customFormat="1" ht="15" customHeight="1">
      <c r="A207" s="8"/>
      <c r="B207" s="8"/>
      <c r="C207" s="58"/>
      <c r="D207" s="9"/>
      <c r="E207" s="9"/>
      <c r="F207" s="18"/>
      <c r="G207" s="18"/>
      <c r="H207" s="18"/>
      <c r="I207" s="26"/>
      <c r="J207" s="26"/>
      <c r="L207" s="17"/>
    </row>
    <row r="208" spans="1:12" customFormat="1" ht="15" customHeight="1">
      <c r="A208" s="8"/>
      <c r="B208" s="8"/>
      <c r="C208" s="58"/>
      <c r="D208" s="9"/>
      <c r="E208" s="9"/>
      <c r="F208" s="18"/>
      <c r="G208" s="18"/>
      <c r="H208" s="18"/>
      <c r="I208" s="26"/>
      <c r="J208" s="26"/>
      <c r="L208" s="17"/>
    </row>
    <row r="209" spans="1:12" customFormat="1" ht="15" customHeight="1">
      <c r="A209" s="8"/>
      <c r="B209" s="8"/>
      <c r="C209" s="58"/>
      <c r="D209" s="9"/>
      <c r="E209" s="9"/>
      <c r="F209" s="18"/>
      <c r="G209" s="18"/>
      <c r="H209" s="18"/>
      <c r="I209" s="26"/>
      <c r="J209" s="26"/>
      <c r="L209" s="17"/>
    </row>
    <row r="210" spans="1:12" customFormat="1" ht="15" customHeight="1">
      <c r="A210" s="8"/>
      <c r="B210" s="8"/>
      <c r="C210" s="58"/>
      <c r="D210" s="9"/>
      <c r="E210" s="9"/>
      <c r="F210" s="18"/>
      <c r="G210" s="18"/>
      <c r="H210" s="18"/>
      <c r="I210" s="26"/>
      <c r="J210" s="26"/>
      <c r="L210" s="17"/>
    </row>
    <row r="211" spans="1:12" customFormat="1" ht="15" customHeight="1">
      <c r="A211" s="8"/>
      <c r="B211" s="8"/>
      <c r="C211" s="58"/>
      <c r="D211" s="9"/>
      <c r="E211" s="9"/>
      <c r="F211" s="18"/>
      <c r="G211" s="18"/>
      <c r="H211" s="18"/>
      <c r="I211" s="26"/>
      <c r="J211" s="26"/>
      <c r="L211" s="17"/>
    </row>
    <row r="212" spans="1:12" customFormat="1" ht="15" customHeight="1">
      <c r="A212" s="8"/>
      <c r="B212" s="8"/>
      <c r="C212" s="58"/>
      <c r="D212" s="9"/>
      <c r="E212" s="9"/>
      <c r="F212" s="18"/>
      <c r="G212" s="18"/>
      <c r="H212" s="18"/>
      <c r="I212" s="26"/>
      <c r="J212" s="26"/>
      <c r="L212" s="17"/>
    </row>
    <row r="213" spans="1:12" customFormat="1" ht="15" customHeight="1">
      <c r="A213" s="8"/>
      <c r="B213" s="8"/>
      <c r="C213" s="58"/>
      <c r="D213" s="9"/>
      <c r="E213" s="9"/>
      <c r="F213" s="18"/>
      <c r="G213" s="18"/>
      <c r="H213" s="18"/>
      <c r="I213" s="26"/>
      <c r="J213" s="26"/>
      <c r="L213" s="17"/>
    </row>
    <row r="214" spans="1:12" customFormat="1" ht="15" customHeight="1">
      <c r="A214" s="8"/>
      <c r="B214" s="8"/>
      <c r="C214" s="58"/>
      <c r="D214" s="9"/>
      <c r="E214" s="9"/>
      <c r="F214" s="18"/>
      <c r="G214" s="18"/>
      <c r="H214" s="18"/>
      <c r="I214" s="26"/>
      <c r="J214" s="26"/>
      <c r="L214" s="17"/>
    </row>
    <row r="215" spans="1:12" customFormat="1" ht="15" customHeight="1">
      <c r="A215" s="8"/>
      <c r="B215" s="8"/>
      <c r="C215" s="58"/>
      <c r="D215" s="9"/>
      <c r="E215" s="9"/>
      <c r="F215" s="18"/>
      <c r="G215" s="18"/>
      <c r="H215" s="18"/>
      <c r="I215" s="26"/>
      <c r="J215" s="26"/>
      <c r="L215" s="17"/>
    </row>
    <row r="216" spans="1:12" customFormat="1" ht="15" customHeight="1">
      <c r="A216" s="8"/>
      <c r="B216" s="8"/>
      <c r="C216" s="58"/>
      <c r="D216" s="9"/>
      <c r="E216" s="9"/>
      <c r="F216" s="18"/>
      <c r="G216" s="18"/>
      <c r="H216" s="18"/>
      <c r="I216" s="26"/>
      <c r="J216" s="26"/>
      <c r="L216" s="17"/>
    </row>
    <row r="217" spans="1:12" customFormat="1" ht="15" customHeight="1">
      <c r="A217" s="8"/>
      <c r="B217" s="8"/>
      <c r="C217" s="58"/>
      <c r="D217" s="9"/>
      <c r="E217" s="9"/>
      <c r="F217" s="18"/>
      <c r="G217" s="18"/>
      <c r="H217" s="18"/>
      <c r="I217" s="26"/>
      <c r="J217" s="26"/>
      <c r="L217" s="17"/>
    </row>
    <row r="218" spans="1:12" customFormat="1" ht="15" customHeight="1">
      <c r="A218" s="8"/>
      <c r="B218" s="8"/>
      <c r="C218" s="58"/>
      <c r="D218" s="9"/>
      <c r="E218" s="9"/>
      <c r="F218" s="18"/>
      <c r="G218" s="18"/>
      <c r="H218" s="18"/>
      <c r="I218" s="26"/>
      <c r="J218" s="26"/>
      <c r="L218" s="17"/>
    </row>
    <row r="219" spans="1:12" customFormat="1" ht="15" customHeight="1">
      <c r="A219" s="8"/>
      <c r="B219" s="8"/>
      <c r="C219" s="58"/>
      <c r="D219" s="9"/>
      <c r="E219" s="9"/>
      <c r="F219" s="18"/>
      <c r="G219" s="18"/>
      <c r="H219" s="18"/>
      <c r="I219" s="26"/>
      <c r="J219" s="26"/>
      <c r="L219" s="17"/>
    </row>
    <row r="220" spans="1:12" customFormat="1" ht="15" customHeight="1">
      <c r="A220" s="8"/>
      <c r="B220" s="8"/>
      <c r="C220" s="58"/>
      <c r="D220" s="9"/>
      <c r="E220" s="9"/>
      <c r="F220" s="18"/>
      <c r="G220" s="18"/>
      <c r="H220" s="18"/>
      <c r="I220" s="26"/>
      <c r="J220" s="26"/>
      <c r="L220" s="17"/>
    </row>
    <row r="221" spans="1:12" customFormat="1" ht="15" customHeight="1">
      <c r="A221" s="8"/>
      <c r="B221" s="8"/>
      <c r="C221" s="58"/>
      <c r="D221" s="9"/>
      <c r="E221" s="9"/>
      <c r="F221" s="18"/>
      <c r="G221" s="18"/>
      <c r="H221" s="18"/>
      <c r="I221" s="26"/>
      <c r="J221" s="26"/>
      <c r="L221" s="17"/>
    </row>
    <row r="222" spans="1:12" customFormat="1" ht="15" customHeight="1">
      <c r="A222" s="8"/>
      <c r="B222" s="8"/>
      <c r="C222" s="58"/>
      <c r="D222" s="9"/>
      <c r="E222" s="9"/>
      <c r="F222" s="18"/>
      <c r="G222" s="18"/>
      <c r="H222" s="18"/>
      <c r="I222" s="26"/>
      <c r="J222" s="26"/>
      <c r="L222" s="17"/>
    </row>
    <row r="223" spans="1:12" customFormat="1" ht="15" customHeight="1">
      <c r="A223" s="8"/>
      <c r="B223" s="8"/>
      <c r="C223" s="58"/>
      <c r="D223" s="9"/>
      <c r="E223" s="9"/>
      <c r="F223" s="18"/>
      <c r="G223" s="18"/>
      <c r="H223" s="18"/>
      <c r="I223" s="26"/>
      <c r="J223" s="26"/>
      <c r="L223" s="17"/>
    </row>
    <row r="224" spans="1:12" customFormat="1" ht="15" customHeight="1">
      <c r="A224" s="8"/>
      <c r="B224" s="8"/>
      <c r="C224" s="58"/>
      <c r="D224" s="9"/>
      <c r="E224" s="9"/>
      <c r="F224" s="18"/>
      <c r="G224" s="18"/>
      <c r="H224" s="18"/>
      <c r="I224" s="26"/>
      <c r="J224" s="26"/>
      <c r="L224" s="17"/>
    </row>
    <row r="225" spans="1:12" customFormat="1" ht="15" customHeight="1">
      <c r="A225" s="8"/>
      <c r="B225" s="8"/>
      <c r="C225" s="58"/>
      <c r="D225" s="9"/>
      <c r="E225" s="9"/>
      <c r="F225" s="18"/>
      <c r="G225" s="18"/>
      <c r="H225" s="18"/>
      <c r="I225" s="26"/>
      <c r="J225" s="26"/>
      <c r="L225" s="17"/>
    </row>
    <row r="226" spans="1:12" customFormat="1" ht="15" customHeight="1">
      <c r="A226" s="8"/>
      <c r="B226" s="8"/>
      <c r="C226" s="58"/>
      <c r="D226" s="9"/>
      <c r="E226" s="9"/>
      <c r="F226" s="18"/>
      <c r="G226" s="18"/>
      <c r="H226" s="18"/>
      <c r="I226" s="26"/>
      <c r="J226" s="26"/>
      <c r="L226" s="17"/>
    </row>
    <row r="227" spans="1:12" customFormat="1" ht="15" customHeight="1">
      <c r="A227" s="8"/>
      <c r="B227" s="8"/>
      <c r="C227" s="58"/>
      <c r="D227" s="9"/>
      <c r="E227" s="9"/>
      <c r="F227" s="55"/>
      <c r="G227" s="55"/>
      <c r="H227" s="56"/>
      <c r="I227" s="56"/>
      <c r="J227" s="55"/>
      <c r="K227" s="55"/>
      <c r="L227" s="17"/>
    </row>
    <row r="228" spans="1:12" customFormat="1" ht="15" customHeight="1">
      <c r="A228" s="8"/>
      <c r="B228" s="8"/>
      <c r="C228" s="58"/>
      <c r="D228" s="9"/>
      <c r="E228" s="9"/>
      <c r="F228" s="55"/>
      <c r="G228" s="55"/>
      <c r="H228" s="56"/>
      <c r="I228" s="56"/>
      <c r="J228" s="55"/>
      <c r="K228" s="55"/>
      <c r="L228" s="17"/>
    </row>
    <row r="229" spans="1:12" customFormat="1" ht="15" customHeight="1">
      <c r="A229" s="8"/>
      <c r="B229" s="8"/>
      <c r="C229" s="58"/>
      <c r="D229" s="9"/>
      <c r="E229" s="9"/>
      <c r="F229" s="59" t="s">
        <v>196</v>
      </c>
      <c r="G229" s="39"/>
      <c r="H229" s="39"/>
      <c r="I229" s="39"/>
      <c r="J229" s="40"/>
      <c r="K229" s="40"/>
      <c r="L229" s="40"/>
    </row>
    <row r="230" spans="1:12" customFormat="1" ht="15" customHeight="1">
      <c r="A230" s="8"/>
      <c r="B230" s="8"/>
      <c r="C230" s="58"/>
      <c r="D230" s="9"/>
      <c r="E230" s="9"/>
      <c r="F230" s="55"/>
      <c r="G230" s="55"/>
      <c r="H230" s="56"/>
      <c r="I230" s="56"/>
      <c r="J230" s="55"/>
      <c r="K230" s="55"/>
      <c r="L230" s="17"/>
    </row>
    <row r="231" spans="1:12" customFormat="1" ht="33" customHeight="1">
      <c r="A231" s="8"/>
      <c r="B231" s="8"/>
      <c r="C231" s="58"/>
      <c r="D231" s="9"/>
      <c r="E231" s="9"/>
      <c r="F231" s="159" t="s">
        <v>197</v>
      </c>
      <c r="G231" s="220" t="s">
        <v>198</v>
      </c>
      <c r="H231" s="220"/>
      <c r="I231" s="115" t="s">
        <v>199</v>
      </c>
      <c r="J231" s="221" t="s">
        <v>200</v>
      </c>
      <c r="K231" s="221"/>
      <c r="L231" s="221"/>
    </row>
    <row r="232" spans="1:12" customFormat="1" ht="15" customHeight="1">
      <c r="A232" s="8"/>
      <c r="B232" s="8"/>
      <c r="C232" s="58"/>
      <c r="D232" s="9"/>
      <c r="E232" s="9"/>
      <c r="F232" s="157"/>
      <c r="G232" s="157"/>
      <c r="H232" s="56"/>
      <c r="I232" s="56"/>
      <c r="J232" s="55"/>
      <c r="K232" s="55"/>
      <c r="L232" s="17"/>
    </row>
    <row r="233" spans="1:12" customFormat="1" ht="33" customHeight="1">
      <c r="A233" s="8"/>
      <c r="B233" s="8"/>
      <c r="C233" s="58"/>
      <c r="D233" s="9"/>
      <c r="E233" s="9"/>
      <c r="F233" s="158" t="s">
        <v>201</v>
      </c>
      <c r="G233" s="209" t="s">
        <v>202</v>
      </c>
      <c r="H233" s="209"/>
      <c r="I233" s="115" t="s">
        <v>199</v>
      </c>
      <c r="J233" s="208" t="s">
        <v>203</v>
      </c>
      <c r="K233" s="208"/>
      <c r="L233" s="208"/>
    </row>
    <row r="234" spans="1:12" customFormat="1" ht="15" customHeight="1">
      <c r="A234" s="8"/>
      <c r="B234" s="8"/>
      <c r="C234" s="58"/>
      <c r="D234" s="9"/>
      <c r="E234" s="9"/>
      <c r="F234" s="157"/>
      <c r="G234" s="157"/>
      <c r="H234" s="56"/>
      <c r="I234" s="56"/>
      <c r="J234" s="55"/>
      <c r="K234" s="55"/>
      <c r="L234" s="17"/>
    </row>
    <row r="235" spans="1:12" customFormat="1" ht="33" customHeight="1">
      <c r="A235" s="8"/>
      <c r="B235" s="8"/>
      <c r="C235" s="58"/>
      <c r="D235" s="9"/>
      <c r="E235" s="9"/>
      <c r="F235" s="158" t="s">
        <v>204</v>
      </c>
      <c r="G235" s="209" t="s">
        <v>205</v>
      </c>
      <c r="H235" s="209"/>
      <c r="I235" s="115" t="s">
        <v>199</v>
      </c>
      <c r="J235" s="208" t="s">
        <v>206</v>
      </c>
      <c r="K235" s="208"/>
      <c r="L235" s="208"/>
    </row>
    <row r="236" spans="1:12" customFormat="1" ht="15" customHeight="1">
      <c r="A236" s="8"/>
      <c r="B236" s="8"/>
      <c r="C236" s="58"/>
      <c r="D236" s="9"/>
      <c r="E236" s="9"/>
      <c r="F236" s="55"/>
      <c r="G236" s="55"/>
      <c r="H236" s="56"/>
      <c r="I236" s="56"/>
      <c r="J236" s="55"/>
      <c r="K236" s="55"/>
      <c r="L236" s="17"/>
    </row>
    <row r="237" spans="1:12" customFormat="1" ht="33" customHeight="1">
      <c r="A237" s="8"/>
      <c r="B237" s="8"/>
      <c r="C237" s="58"/>
      <c r="D237" s="9"/>
      <c r="E237" s="9"/>
      <c r="F237" s="158" t="s">
        <v>207</v>
      </c>
      <c r="G237" s="209" t="s">
        <v>208</v>
      </c>
      <c r="H237" s="209"/>
      <c r="I237" s="115" t="s">
        <v>199</v>
      </c>
      <c r="J237" s="208" t="s">
        <v>209</v>
      </c>
      <c r="K237" s="208"/>
      <c r="L237" s="208"/>
    </row>
    <row r="238" spans="1:12" customFormat="1" ht="15" customHeight="1">
      <c r="A238" s="8"/>
      <c r="B238" s="8"/>
      <c r="C238" s="58"/>
      <c r="D238" s="9"/>
      <c r="E238" s="9"/>
      <c r="F238" s="55"/>
      <c r="G238" s="55"/>
      <c r="H238" s="56"/>
      <c r="I238" s="56"/>
      <c r="J238" s="55"/>
      <c r="K238" s="55"/>
      <c r="L238" s="17"/>
    </row>
    <row r="239" spans="1:12" customFormat="1" ht="15" customHeight="1">
      <c r="A239" s="8"/>
      <c r="B239" s="8"/>
      <c r="C239" s="58"/>
      <c r="D239" s="9"/>
      <c r="E239" s="9"/>
      <c r="F239" s="55"/>
      <c r="G239" s="55"/>
      <c r="H239" s="56"/>
      <c r="I239" s="56"/>
      <c r="J239" s="55"/>
      <c r="K239" s="55"/>
      <c r="L239" s="17"/>
    </row>
    <row r="240" spans="1:12" customFormat="1" ht="15" customHeight="1">
      <c r="A240" s="8"/>
      <c r="B240" s="8"/>
      <c r="C240" s="58"/>
      <c r="D240" s="9"/>
      <c r="E240" s="9"/>
      <c r="F240" s="55"/>
      <c r="G240" s="55"/>
      <c r="H240" s="56"/>
      <c r="I240" s="56"/>
      <c r="J240" s="55"/>
      <c r="K240" s="55"/>
      <c r="L240" s="17"/>
    </row>
    <row r="241" s="8" customFormat="1" ht="14.1"/>
    <row r="242" s="8" customFormat="1" ht="14.1"/>
    <row r="243" s="8" customFormat="1" ht="14.1"/>
    <row r="244" s="8" customFormat="1" ht="14.1"/>
    <row r="245" s="8" customFormat="1" ht="14.1"/>
    <row r="246" s="8" customFormat="1" ht="14.1"/>
    <row r="247" s="8" customFormat="1" ht="14.1"/>
    <row r="248" s="8" customFormat="1" ht="14.1"/>
    <row r="249" s="8" customFormat="1" ht="14.1"/>
    <row r="250" s="8" customFormat="1" ht="14.1"/>
    <row r="251" s="8" customFormat="1" ht="14.1"/>
    <row r="252" s="8" customFormat="1" ht="14.1"/>
    <row r="253" s="8" customFormat="1" ht="14.1"/>
    <row r="254" s="8" customFormat="1" ht="14.1"/>
    <row r="255" s="8" customFormat="1" ht="14.1"/>
    <row r="256" s="8" customFormat="1" ht="14.1"/>
    <row r="257" s="8" customFormat="1" ht="14.1"/>
    <row r="258" s="8" customFormat="1" ht="14.1"/>
    <row r="259" s="8" customFormat="1" ht="14.1"/>
    <row r="260" s="8" customFormat="1" ht="14.1"/>
    <row r="261" s="8" customFormat="1" ht="14.1"/>
    <row r="262" s="8" customFormat="1" ht="14.1"/>
    <row r="263" s="8" customFormat="1" ht="14.1"/>
    <row r="264" s="8" customFormat="1" ht="14.1"/>
    <row r="265" s="8" customFormat="1" ht="14.1"/>
    <row r="266" s="8" customFormat="1" ht="14.1"/>
    <row r="267" s="8" customFormat="1" ht="14.1"/>
    <row r="268" s="8" customFormat="1" ht="14.1"/>
    <row r="269" s="8" customFormat="1" ht="14.1"/>
    <row r="270" s="8" customFormat="1" ht="14.1"/>
    <row r="271" s="8" customFormat="1" ht="14.1"/>
    <row r="272" s="8" customFormat="1" ht="14.1"/>
    <row r="273" s="8" customFormat="1" ht="14.1"/>
    <row r="274" s="8" customFormat="1" ht="14.1"/>
    <row r="275" s="8" customFormat="1" ht="14.1"/>
    <row r="276" s="8" customFormat="1" ht="14.1"/>
    <row r="277" s="8" customFormat="1" ht="14.1"/>
    <row r="278" s="8" customFormat="1" ht="14.1"/>
    <row r="279" s="8" customFormat="1" ht="14.1"/>
    <row r="280" s="8" customFormat="1" ht="14.1"/>
    <row r="281" s="8" customFormat="1" ht="14.1"/>
    <row r="282" s="8" customFormat="1" ht="14.1"/>
    <row r="283" s="8" customFormat="1" ht="14.1"/>
    <row r="284" s="8" customFormat="1" ht="14.1"/>
    <row r="285" s="8" customFormat="1" ht="14.1"/>
    <row r="286" s="8" customFormat="1" ht="14.1"/>
    <row r="287" s="8" customFormat="1" ht="14.1"/>
    <row r="288" s="8" customFormat="1" ht="14.1"/>
    <row r="289" s="8" customFormat="1" ht="14.1"/>
    <row r="290" s="8" customFormat="1" ht="14.1"/>
    <row r="291" s="8" customFormat="1" ht="14.1"/>
    <row r="292" s="8" customFormat="1" ht="14.1"/>
    <row r="293" s="8" customFormat="1" ht="14.1"/>
    <row r="294" s="8" customFormat="1" ht="14.1"/>
    <row r="295" s="8" customFormat="1" ht="14.1"/>
    <row r="296" s="8" customFormat="1" ht="14.1"/>
    <row r="297" s="8" customFormat="1" ht="14.1"/>
    <row r="298" s="8" customFormat="1" ht="14.1"/>
    <row r="299" s="8" customFormat="1" ht="14.1"/>
    <row r="300" s="8" customFormat="1" ht="14.1"/>
    <row r="301" s="8" customFormat="1" ht="14.1"/>
    <row r="302" s="8" customFormat="1" ht="14.1"/>
    <row r="303" s="8" customFormat="1" ht="14.1"/>
    <row r="304" s="8" customFormat="1" ht="14.1"/>
    <row r="305" spans="6:11" s="8" customFormat="1" ht="14.1"/>
    <row r="306" spans="6:11" s="8" customFormat="1" ht="14.1"/>
    <row r="307" spans="6:11" s="8" customFormat="1" ht="14.1">
      <c r="F307" s="7"/>
      <c r="G307" s="7"/>
      <c r="H307" s="7"/>
      <c r="I307" s="7"/>
      <c r="J307" s="7"/>
      <c r="K307" s="7"/>
    </row>
  </sheetData>
  <mergeCells count="40">
    <mergeCell ref="K18:K19"/>
    <mergeCell ref="L18:L19"/>
    <mergeCell ref="J14:L15"/>
    <mergeCell ref="G231:H231"/>
    <mergeCell ref="J231:L231"/>
    <mergeCell ref="K129:L129"/>
    <mergeCell ref="K139:L139"/>
    <mergeCell ref="J233:L233"/>
    <mergeCell ref="J235:L235"/>
    <mergeCell ref="J237:L237"/>
    <mergeCell ref="G233:H233"/>
    <mergeCell ref="G235:H235"/>
    <mergeCell ref="G237:H237"/>
    <mergeCell ref="D154:D158"/>
    <mergeCell ref="K154:L154"/>
    <mergeCell ref="D161:D168"/>
    <mergeCell ref="K161:L161"/>
    <mergeCell ref="D171:D179"/>
    <mergeCell ref="K171:L171"/>
    <mergeCell ref="D139:D147"/>
    <mergeCell ref="K90:L90"/>
    <mergeCell ref="K59:L59"/>
    <mergeCell ref="D113:D116"/>
    <mergeCell ref="D129:D136"/>
    <mergeCell ref="F4:L4"/>
    <mergeCell ref="L188:L197"/>
    <mergeCell ref="F2:J2"/>
    <mergeCell ref="D6:D8"/>
    <mergeCell ref="D35:D42"/>
    <mergeCell ref="D107:D111"/>
    <mergeCell ref="D58:D65"/>
    <mergeCell ref="D10:D31"/>
    <mergeCell ref="D76:D80"/>
    <mergeCell ref="D67:D74"/>
    <mergeCell ref="D82:D85"/>
    <mergeCell ref="D89:D96"/>
    <mergeCell ref="D98:D105"/>
    <mergeCell ref="K122:L122"/>
    <mergeCell ref="D122:D126"/>
    <mergeCell ref="D44:D53"/>
  </mergeCells>
  <hyperlinks>
    <hyperlink ref="J231" r:id="rId1" xr:uid="{54ABE7DF-2EDB-4B28-B3D9-5BD51293DD5E}"/>
    <hyperlink ref="J233" r:id="rId2" xr:uid="{E443DBA5-D7D1-4912-84AD-C29B79464165}"/>
    <hyperlink ref="J235" r:id="rId3" xr:uid="{98CF5178-13BE-4862-8A26-73C6A27D11CE}"/>
    <hyperlink ref="J237" r:id="rId4" xr:uid="{8AE8E775-18A2-4F91-BE5E-A1D04060720C}"/>
  </hyperlinks>
  <pageMargins left="0.70866141732283472" right="0.70866141732283472" top="0.74803149606299213" bottom="0.74803149606299213" header="0.31496062992125984" footer="0.31496062992125984"/>
  <pageSetup paperSize="8" scale="62" fitToHeight="0" orientation="landscape" r:id="rId5"/>
  <rowBreaks count="3" manualBreakCount="3">
    <brk id="56" min="2" max="11" man="1"/>
    <brk id="119" min="2" max="11" man="1"/>
    <brk id="183" min="2" max="11" man="1"/>
  </rowBreak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98FA0-AA7A-4BA1-9AC6-8F5D414D1F1E}">
  <sheetPr>
    <tabColor rgb="FF4F7D83"/>
    <pageSetUpPr fitToPage="1"/>
  </sheetPr>
  <dimension ref="A1:S307"/>
  <sheetViews>
    <sheetView showGridLines="0" tabSelected="1" zoomScale="70" zoomScaleNormal="70" zoomScaleSheetLayoutView="40" workbookViewId="0">
      <selection activeCell="H197" sqref="H197"/>
    </sheetView>
  </sheetViews>
  <sheetFormatPr defaultColWidth="9.140625" defaultRowHeight="12.6"/>
  <cols>
    <col min="1" max="1" width="1.28515625" style="7" customWidth="1"/>
    <col min="2" max="2" width="1.5703125" style="7" customWidth="1"/>
    <col min="3" max="3" width="3.42578125" style="7" customWidth="1"/>
    <col min="4" max="4" width="2.42578125" style="7" customWidth="1"/>
    <col min="5" max="5" width="1" style="7" customWidth="1"/>
    <col min="6" max="6" width="55" style="7" customWidth="1"/>
    <col min="7" max="7" width="44.85546875" style="7" customWidth="1"/>
    <col min="8" max="10" width="18.7109375" style="7" customWidth="1"/>
    <col min="11" max="11" width="13.5703125" style="7" customWidth="1"/>
    <col min="12" max="12" width="130.7109375" style="7" customWidth="1"/>
    <col min="13" max="14" width="9.140625" style="7"/>
    <col min="15" max="15" width="13" style="7" customWidth="1"/>
    <col min="16" max="16" width="9.140625" style="7"/>
    <col min="17" max="17" width="10.5703125" style="7" customWidth="1"/>
    <col min="18" max="16384" width="9.140625" style="7"/>
  </cols>
  <sheetData>
    <row r="1" spans="1:12" ht="39.950000000000003" customHeight="1">
      <c r="F1" s="5"/>
      <c r="G1" s="5"/>
      <c r="H1" s="5"/>
      <c r="I1" s="5"/>
    </row>
    <row r="2" spans="1:12" s="20" customFormat="1" ht="22.5" customHeight="1">
      <c r="A2" s="8"/>
      <c r="B2" s="8"/>
      <c r="C2" s="58"/>
      <c r="D2" s="9"/>
      <c r="E2" s="9"/>
      <c r="F2" s="198"/>
      <c r="G2" s="198"/>
      <c r="H2" s="198"/>
      <c r="I2" s="198"/>
      <c r="J2" s="199"/>
      <c r="K2" s="18"/>
      <c r="L2" s="18"/>
    </row>
    <row r="3" spans="1:12" s="20" customFormat="1" ht="14.45">
      <c r="A3" s="8"/>
      <c r="B3" s="8"/>
      <c r="C3" s="58"/>
      <c r="D3" s="9"/>
      <c r="E3" s="9"/>
      <c r="F3" s="18"/>
      <c r="G3" s="18"/>
      <c r="H3" s="18"/>
      <c r="I3" s="18"/>
      <c r="J3" s="18"/>
      <c r="K3" s="18"/>
      <c r="L3" s="18"/>
    </row>
    <row r="4" spans="1:12" s="20" customFormat="1" ht="20.100000000000001">
      <c r="A4" s="8"/>
      <c r="B4" s="8"/>
      <c r="C4" s="58"/>
      <c r="D4" s="9"/>
      <c r="E4" s="9"/>
      <c r="F4" s="194" t="s">
        <v>18</v>
      </c>
      <c r="G4" s="194"/>
      <c r="H4" s="194"/>
      <c r="I4" s="194"/>
      <c r="J4" s="194"/>
      <c r="K4" s="194"/>
      <c r="L4" s="194"/>
    </row>
    <row r="5" spans="1:12" s="20" customFormat="1" ht="14.45">
      <c r="A5" s="8"/>
      <c r="B5" s="8"/>
      <c r="C5" s="58"/>
      <c r="D5" s="9"/>
      <c r="E5" s="9"/>
      <c r="F5" s="18"/>
      <c r="G5" s="18"/>
      <c r="H5" s="18"/>
      <c r="I5" s="18"/>
      <c r="J5" s="18"/>
      <c r="K5" s="18"/>
      <c r="L5" s="18"/>
    </row>
    <row r="6" spans="1:12" s="20" customFormat="1" ht="14.45">
      <c r="A6" s="8"/>
      <c r="B6" s="8"/>
      <c r="C6" s="58"/>
      <c r="D6" s="200" t="s">
        <v>19</v>
      </c>
      <c r="E6" s="54"/>
      <c r="F6" s="59" t="s">
        <v>20</v>
      </c>
      <c r="G6" s="39"/>
      <c r="H6" s="39"/>
      <c r="I6" s="39"/>
      <c r="J6" s="40"/>
      <c r="K6" s="40"/>
      <c r="L6" s="40"/>
    </row>
    <row r="7" spans="1:12" customFormat="1" ht="14.45">
      <c r="A7" s="8"/>
      <c r="B7" s="8"/>
      <c r="C7" s="58"/>
      <c r="D7" s="200"/>
      <c r="E7" s="54"/>
      <c r="F7" s="44" t="s">
        <v>21</v>
      </c>
      <c r="G7" s="44" t="s">
        <v>22</v>
      </c>
      <c r="H7" s="44" t="s">
        <v>23</v>
      </c>
      <c r="I7" s="76"/>
      <c r="J7" s="77"/>
      <c r="K7" s="77"/>
      <c r="L7" s="78" t="s">
        <v>24</v>
      </c>
    </row>
    <row r="8" spans="1:12" s="20" customFormat="1" ht="22.5" customHeight="1">
      <c r="A8" s="8"/>
      <c r="B8" s="8"/>
      <c r="C8" s="58"/>
      <c r="D8" s="200"/>
      <c r="E8" s="54"/>
      <c r="F8" s="15" t="s">
        <v>25</v>
      </c>
      <c r="G8" s="21" t="s">
        <v>26</v>
      </c>
      <c r="H8" s="166">
        <f>K18*52</f>
        <v>0</v>
      </c>
      <c r="I8" s="51" t="s">
        <v>27</v>
      </c>
      <c r="J8" s="52"/>
      <c r="K8" s="52"/>
      <c r="L8" s="53"/>
    </row>
    <row r="9" spans="1:12" s="20" customFormat="1" ht="14.45">
      <c r="A9" s="8"/>
      <c r="B9" s="8"/>
      <c r="C9" s="58"/>
      <c r="D9" s="9"/>
      <c r="E9" s="9"/>
      <c r="F9" s="18"/>
      <c r="G9" s="18"/>
      <c r="H9" s="18"/>
      <c r="I9" s="18"/>
      <c r="J9" s="18"/>
      <c r="K9" s="18"/>
      <c r="L9" s="18"/>
    </row>
    <row r="10" spans="1:12" s="20" customFormat="1" ht="14.45">
      <c r="A10" s="8"/>
      <c r="B10" s="8"/>
      <c r="C10" s="58"/>
      <c r="D10" s="201" t="s">
        <v>28</v>
      </c>
      <c r="E10" s="9"/>
      <c r="F10" s="59" t="s">
        <v>29</v>
      </c>
      <c r="G10" s="39"/>
      <c r="H10" s="39"/>
      <c r="I10" s="39"/>
      <c r="J10" s="40"/>
      <c r="K10" s="40"/>
      <c r="L10" s="40"/>
    </row>
    <row r="11" spans="1:12" s="20" customFormat="1" ht="14.45">
      <c r="A11" s="8"/>
      <c r="B11" s="8"/>
      <c r="C11" s="58"/>
      <c r="D11" s="202"/>
      <c r="E11" s="9"/>
      <c r="F11" s="44" t="s">
        <v>30</v>
      </c>
      <c r="G11" s="44" t="s">
        <v>23</v>
      </c>
      <c r="H11" s="76" t="s">
        <v>24</v>
      </c>
      <c r="I11" s="77"/>
      <c r="J11" s="77"/>
      <c r="K11" s="77"/>
      <c r="L11" s="78"/>
    </row>
    <row r="12" spans="1:12" s="20" customFormat="1" ht="14.45">
      <c r="A12" s="8"/>
      <c r="B12" s="8"/>
      <c r="C12" s="58"/>
      <c r="D12" s="202"/>
      <c r="E12" s="9"/>
      <c r="F12" s="21" t="s">
        <v>31</v>
      </c>
      <c r="G12" s="23"/>
      <c r="H12" s="109"/>
      <c r="I12" s="35"/>
      <c r="J12" s="35"/>
      <c r="K12" s="34"/>
      <c r="L12" s="38"/>
    </row>
    <row r="13" spans="1:12" s="20" customFormat="1" ht="14.45">
      <c r="A13" s="8"/>
      <c r="B13" s="8"/>
      <c r="C13" s="58"/>
      <c r="D13" s="202"/>
      <c r="E13" s="9"/>
      <c r="F13" s="21" t="s">
        <v>32</v>
      </c>
      <c r="G13" s="23"/>
      <c r="H13" s="109"/>
      <c r="I13" s="35"/>
      <c r="J13" s="35"/>
      <c r="K13" s="34"/>
      <c r="L13" s="38"/>
    </row>
    <row r="14" spans="1:12" s="20" customFormat="1" ht="14.45">
      <c r="A14" s="8"/>
      <c r="B14" s="8"/>
      <c r="C14" s="58"/>
      <c r="D14" s="202"/>
      <c r="E14" s="9"/>
      <c r="F14" s="21" t="s">
        <v>33</v>
      </c>
      <c r="G14" s="23"/>
      <c r="H14" s="169">
        <f>0.5*G14</f>
        <v>0</v>
      </c>
      <c r="I14" s="60" t="s">
        <v>34</v>
      </c>
      <c r="J14" s="222" t="s">
        <v>35</v>
      </c>
      <c r="K14" s="223"/>
      <c r="L14" s="224"/>
    </row>
    <row r="15" spans="1:12" s="20" customFormat="1" ht="14.45">
      <c r="A15" s="8"/>
      <c r="B15" s="8"/>
      <c r="C15" s="58"/>
      <c r="D15" s="202"/>
      <c r="E15" s="9"/>
      <c r="F15" s="21" t="s">
        <v>36</v>
      </c>
      <c r="G15" s="23"/>
      <c r="H15" s="169">
        <f>0.75*G15</f>
        <v>0</v>
      </c>
      <c r="I15" s="129" t="s">
        <v>34</v>
      </c>
      <c r="J15" s="225"/>
      <c r="K15" s="226"/>
      <c r="L15" s="227"/>
    </row>
    <row r="16" spans="1:12" s="20" customFormat="1" ht="14.45">
      <c r="A16" s="8"/>
      <c r="B16" s="8"/>
      <c r="C16" s="58"/>
      <c r="D16" s="202"/>
      <c r="E16" s="9"/>
      <c r="F16" s="21" t="s">
        <v>37</v>
      </c>
      <c r="G16" s="23"/>
      <c r="H16" s="169">
        <f>1*G16</f>
        <v>0</v>
      </c>
      <c r="I16" t="s">
        <v>34</v>
      </c>
      <c r="J16" s="172">
        <f>H14+H15+H16</f>
        <v>0</v>
      </c>
      <c r="K16" s="171" t="s">
        <v>38</v>
      </c>
      <c r="L16" s="161" t="str">
        <f>IF(J16=K18,"","check this totals figure in cell K18")</f>
        <v/>
      </c>
    </row>
    <row r="17" spans="1:12" s="20" customFormat="1" ht="14.45">
      <c r="A17" s="8"/>
      <c r="B17" s="8"/>
      <c r="C17" s="58"/>
      <c r="D17" s="202"/>
      <c r="E17" s="9"/>
      <c r="F17" s="21" t="s">
        <v>39</v>
      </c>
      <c r="G17" s="23"/>
      <c r="H17" s="81"/>
      <c r="I17" s="35"/>
      <c r="J17" s="35"/>
      <c r="K17" s="34"/>
      <c r="L17" s="38"/>
    </row>
    <row r="18" spans="1:12" s="20" customFormat="1" ht="14.45">
      <c r="A18" s="8"/>
      <c r="B18" s="8"/>
      <c r="C18" s="58"/>
      <c r="D18" s="202"/>
      <c r="E18" s="9"/>
      <c r="F18" s="21" t="s">
        <v>40</v>
      </c>
      <c r="G18" s="23"/>
      <c r="H18" s="170">
        <f>G18*G22</f>
        <v>0</v>
      </c>
      <c r="I18" s="35" t="s">
        <v>41</v>
      </c>
      <c r="J18" s="35"/>
      <c r="K18" s="228">
        <f>H18+H19</f>
        <v>0</v>
      </c>
      <c r="L18" s="230" t="s">
        <v>42</v>
      </c>
    </row>
    <row r="19" spans="1:12" s="20" customFormat="1" ht="14.45">
      <c r="A19" s="8"/>
      <c r="B19" s="8"/>
      <c r="C19" s="58"/>
      <c r="D19" s="202"/>
      <c r="E19" s="9"/>
      <c r="F19" s="21" t="s">
        <v>43</v>
      </c>
      <c r="G19" s="167">
        <f>IF(G23&gt;0,25,0)</f>
        <v>0</v>
      </c>
      <c r="H19" s="170">
        <f>G19*G23</f>
        <v>0</v>
      </c>
      <c r="I19" s="35" t="s">
        <v>44</v>
      </c>
      <c r="J19" s="35"/>
      <c r="K19" s="229"/>
      <c r="L19" s="231"/>
    </row>
    <row r="20" spans="1:12" s="20" customFormat="1" ht="14.45">
      <c r="A20" s="8"/>
      <c r="B20" s="8"/>
      <c r="C20" s="58"/>
      <c r="D20" s="202"/>
      <c r="E20" s="9"/>
      <c r="F20" s="21" t="s">
        <v>45</v>
      </c>
      <c r="G20" s="75">
        <v>0</v>
      </c>
      <c r="H20" t="s">
        <v>46</v>
      </c>
      <c r="I20" s="35"/>
      <c r="J20" s="35"/>
      <c r="K20" s="34"/>
      <c r="L20" s="38"/>
    </row>
    <row r="21" spans="1:12" s="20" customFormat="1" ht="14.45">
      <c r="A21" s="8"/>
      <c r="B21" s="8"/>
      <c r="C21" s="58"/>
      <c r="D21" s="202"/>
      <c r="E21" s="9"/>
      <c r="F21" s="21" t="s">
        <v>47</v>
      </c>
      <c r="G21" s="75">
        <v>0</v>
      </c>
      <c r="H21" s="81"/>
      <c r="I21" s="35"/>
      <c r="J21" s="35"/>
      <c r="K21" s="34"/>
      <c r="L21" s="38"/>
    </row>
    <row r="22" spans="1:12" s="20" customFormat="1" ht="14.45">
      <c r="A22" s="8"/>
      <c r="B22" s="8"/>
      <c r="C22" s="58"/>
      <c r="D22" s="202"/>
      <c r="E22" s="9"/>
      <c r="F22" s="21" t="s">
        <v>48</v>
      </c>
      <c r="G22" s="23"/>
      <c r="H22" s="81"/>
      <c r="I22" s="35"/>
      <c r="J22" s="35"/>
      <c r="K22" s="34"/>
      <c r="L22" s="38"/>
    </row>
    <row r="23" spans="1:12" s="20" customFormat="1" ht="14.45">
      <c r="A23" s="8"/>
      <c r="B23" s="8"/>
      <c r="C23" s="58"/>
      <c r="D23" s="202"/>
      <c r="E23" s="9"/>
      <c r="F23" s="21" t="s">
        <v>49</v>
      </c>
      <c r="G23" s="23"/>
      <c r="H23" s="109" t="s">
        <v>50</v>
      </c>
      <c r="I23" s="35"/>
      <c r="J23" s="35"/>
      <c r="K23" s="34"/>
      <c r="L23" s="38"/>
    </row>
    <row r="24" spans="1:12" s="20" customFormat="1" ht="14.45">
      <c r="A24" s="8"/>
      <c r="B24" s="8"/>
      <c r="C24" s="58"/>
      <c r="D24" s="202"/>
      <c r="E24" s="9"/>
      <c r="F24" s="21" t="s">
        <v>51</v>
      </c>
      <c r="G24" s="167">
        <f>G23+G22</f>
        <v>0</v>
      </c>
      <c r="H24" t="s">
        <v>52</v>
      </c>
      <c r="I24" s="35"/>
      <c r="J24" s="35"/>
      <c r="K24" s="34"/>
      <c r="L24" s="38"/>
    </row>
    <row r="25" spans="1:12" s="20" customFormat="1" ht="14.45">
      <c r="A25" s="8"/>
      <c r="B25" s="8"/>
      <c r="C25" s="58"/>
      <c r="D25" s="202"/>
      <c r="E25" s="9"/>
      <c r="F25" s="21" t="s">
        <v>53</v>
      </c>
      <c r="G25" s="167" t="e">
        <f>G12/G17</f>
        <v>#DIV/0!</v>
      </c>
      <c r="H25" s="81"/>
      <c r="I25" s="35"/>
      <c r="J25" s="35"/>
      <c r="K25" s="34"/>
      <c r="L25" s="38"/>
    </row>
    <row r="26" spans="1:12" s="20" customFormat="1" ht="14.45">
      <c r="A26" s="8"/>
      <c r="B26" s="8"/>
      <c r="C26" s="58"/>
      <c r="D26" s="202"/>
      <c r="E26" s="9"/>
      <c r="F26" s="21" t="s">
        <v>54</v>
      </c>
      <c r="G26" s="41"/>
      <c r="H26" s="81"/>
      <c r="I26" s="35"/>
      <c r="J26" s="35"/>
      <c r="K26" s="34"/>
      <c r="L26" s="38"/>
    </row>
    <row r="27" spans="1:12" s="20" customFormat="1" ht="14.45">
      <c r="A27" s="8"/>
      <c r="B27" s="8"/>
      <c r="C27" s="58"/>
      <c r="D27" s="202"/>
      <c r="E27" s="9"/>
      <c r="F27" s="21" t="s">
        <v>55</v>
      </c>
      <c r="G27" s="23"/>
      <c r="H27" s="109" t="s">
        <v>56</v>
      </c>
      <c r="I27" s="35"/>
      <c r="J27" s="35"/>
      <c r="K27" s="34"/>
      <c r="L27" s="38"/>
    </row>
    <row r="28" spans="1:12" s="20" customFormat="1" ht="14.45">
      <c r="A28" s="8"/>
      <c r="B28" s="8"/>
      <c r="C28" s="58"/>
      <c r="D28" s="202"/>
      <c r="E28" s="9"/>
      <c r="F28" s="21" t="s">
        <v>57</v>
      </c>
      <c r="G28" s="23"/>
      <c r="H28" s="109" t="s">
        <v>56</v>
      </c>
      <c r="I28" s="35"/>
      <c r="J28" s="35"/>
      <c r="K28" s="34"/>
      <c r="L28" s="38"/>
    </row>
    <row r="29" spans="1:12" s="20" customFormat="1" ht="14.45">
      <c r="A29" s="8"/>
      <c r="B29" s="8"/>
      <c r="C29" s="58"/>
      <c r="D29" s="202"/>
      <c r="E29" s="9"/>
      <c r="F29" s="21" t="s">
        <v>58</v>
      </c>
      <c r="G29" s="23"/>
      <c r="H29" s="109" t="s">
        <v>59</v>
      </c>
      <c r="I29" s="35"/>
      <c r="J29" s="35"/>
      <c r="K29" s="34"/>
      <c r="L29" s="38"/>
    </row>
    <row r="30" spans="1:12" s="20" customFormat="1" ht="14.45">
      <c r="A30" s="8"/>
      <c r="B30" s="8"/>
      <c r="C30" s="58"/>
      <c r="D30" s="202"/>
      <c r="E30" s="9"/>
      <c r="F30" s="21" t="s">
        <v>60</v>
      </c>
      <c r="G30" s="127"/>
      <c r="H30" s="109" t="s">
        <v>61</v>
      </c>
      <c r="I30" s="35"/>
      <c r="J30" s="35"/>
      <c r="K30" s="34"/>
      <c r="L30" s="38"/>
    </row>
    <row r="31" spans="1:12" s="20" customFormat="1" ht="14.45">
      <c r="A31" s="8"/>
      <c r="B31" s="8"/>
      <c r="C31" s="58"/>
      <c r="D31" s="203"/>
      <c r="E31" s="9"/>
      <c r="F31" s="21" t="s">
        <v>62</v>
      </c>
      <c r="G31" s="168" t="e">
        <f>50*G25</f>
        <v>#DIV/0!</v>
      </c>
      <c r="H31" s="109" t="s">
        <v>63</v>
      </c>
      <c r="I31" s="35"/>
      <c r="J31" s="35"/>
      <c r="K31" s="34"/>
      <c r="L31" s="38"/>
    </row>
    <row r="32" spans="1:12" s="20" customFormat="1" ht="14.45">
      <c r="A32" s="8"/>
      <c r="B32" s="8"/>
      <c r="C32" s="58"/>
      <c r="D32" s="54"/>
      <c r="E32" s="9"/>
      <c r="F32" s="16"/>
      <c r="G32" s="87"/>
      <c r="H32" s="16"/>
      <c r="I32" s="16"/>
      <c r="J32" s="16"/>
      <c r="K32" s="18"/>
      <c r="L32" s="18"/>
    </row>
    <row r="33" spans="1:13" s="20" customFormat="1" ht="14.45">
      <c r="A33" s="8"/>
      <c r="B33" s="8"/>
      <c r="C33" s="58"/>
      <c r="D33" s="54"/>
      <c r="E33" s="9"/>
      <c r="F33" s="16"/>
      <c r="G33" s="87"/>
      <c r="H33" s="16"/>
      <c r="I33" s="16"/>
      <c r="J33" s="19"/>
      <c r="K33" s="18"/>
      <c r="L33" s="18"/>
    </row>
    <row r="34" spans="1:13" customFormat="1" ht="15" customHeight="1">
      <c r="A34" s="8"/>
      <c r="B34" s="8"/>
      <c r="C34" s="58"/>
      <c r="D34" s="9"/>
      <c r="E34" s="9"/>
      <c r="F34" s="59" t="s">
        <v>64</v>
      </c>
      <c r="G34" s="39"/>
      <c r="H34" s="39"/>
      <c r="I34" s="39"/>
      <c r="J34" s="40"/>
      <c r="K34" s="40"/>
      <c r="L34" s="40"/>
    </row>
    <row r="35" spans="1:13" s="20" customFormat="1" ht="15" customHeight="1">
      <c r="A35" s="8" t="s">
        <v>65</v>
      </c>
      <c r="B35" s="8"/>
      <c r="C35" s="58"/>
      <c r="D35" s="200" t="s">
        <v>66</v>
      </c>
      <c r="E35" s="9"/>
      <c r="F35" s="44" t="s">
        <v>21</v>
      </c>
      <c r="G35" s="44" t="s">
        <v>22</v>
      </c>
      <c r="H35" s="44" t="s">
        <v>67</v>
      </c>
      <c r="I35" s="62" t="s">
        <v>68</v>
      </c>
      <c r="J35" s="71" t="s">
        <v>69</v>
      </c>
      <c r="K35" s="74"/>
      <c r="L35" s="135" t="s">
        <v>70</v>
      </c>
    </row>
    <row r="36" spans="1:13" customFormat="1" ht="15" customHeight="1">
      <c r="A36" s="8"/>
      <c r="B36" s="8"/>
      <c r="C36" s="58"/>
      <c r="D36" s="200"/>
      <c r="E36" s="9"/>
      <c r="F36" s="46" t="s">
        <v>71</v>
      </c>
      <c r="G36" s="47"/>
      <c r="H36" s="47"/>
      <c r="I36" s="47"/>
      <c r="J36" s="72"/>
      <c r="K36" s="107"/>
      <c r="L36" s="7"/>
    </row>
    <row r="37" spans="1:13" customFormat="1" ht="14.45">
      <c r="A37" s="8"/>
      <c r="B37" s="8"/>
      <c r="C37" s="58"/>
      <c r="D37" s="200"/>
      <c r="E37" s="9"/>
      <c r="F37" s="23" t="s">
        <v>72</v>
      </c>
      <c r="G37" s="97" t="s">
        <v>73</v>
      </c>
      <c r="H37" s="41"/>
      <c r="I37" s="168">
        <f>(H37)*(1+H70+H71+H72)*(1+H77+H78)</f>
        <v>0</v>
      </c>
      <c r="J37" s="173">
        <f>(I37/52)/37.5</f>
        <v>0</v>
      </c>
      <c r="K37" s="61" t="s">
        <v>74</v>
      </c>
      <c r="L37" s="92"/>
    </row>
    <row r="38" spans="1:13" customFormat="1" ht="15" customHeight="1">
      <c r="A38" s="8"/>
      <c r="B38" s="8"/>
      <c r="C38" s="58"/>
      <c r="D38" s="200"/>
      <c r="E38" s="9"/>
      <c r="F38" s="23" t="s">
        <v>75</v>
      </c>
      <c r="G38" s="104" t="s">
        <v>73</v>
      </c>
      <c r="H38" s="41"/>
      <c r="I38" s="168">
        <f>(H38)*(1+H70+H71+H72)*(1+H77+H78)</f>
        <v>0</v>
      </c>
      <c r="J38" s="173">
        <f>(I38/52)/37.5</f>
        <v>0</v>
      </c>
      <c r="K38" s="61" t="s">
        <v>76</v>
      </c>
      <c r="L38" s="92"/>
    </row>
    <row r="39" spans="1:13" customFormat="1" ht="15" customHeight="1">
      <c r="A39" s="8"/>
      <c r="B39" s="8"/>
      <c r="C39" s="58"/>
      <c r="D39" s="200"/>
      <c r="E39" s="9"/>
      <c r="F39" s="23" t="s">
        <v>77</v>
      </c>
      <c r="G39" s="104" t="s">
        <v>73</v>
      </c>
      <c r="H39" s="41"/>
      <c r="I39" s="168">
        <f>(H39)*(1+H70+H71+H72)*(1+H77+H78)</f>
        <v>0</v>
      </c>
      <c r="J39" s="173">
        <f>(I39/52)/37.5</f>
        <v>0</v>
      </c>
      <c r="K39" s="61" t="s">
        <v>78</v>
      </c>
      <c r="L39" s="92"/>
      <c r="M39" s="20"/>
    </row>
    <row r="40" spans="1:13" customFormat="1" ht="15" customHeight="1">
      <c r="A40" s="8"/>
      <c r="B40" s="8"/>
      <c r="C40" s="58"/>
      <c r="D40" s="200"/>
      <c r="E40" s="9"/>
      <c r="F40" s="23" t="s">
        <v>79</v>
      </c>
      <c r="G40" s="104" t="s">
        <v>73</v>
      </c>
      <c r="H40" s="41"/>
      <c r="I40" s="168">
        <f>(H40)*(1+H70+H71+H72)*(1+H77+H78)</f>
        <v>0</v>
      </c>
      <c r="J40" s="173">
        <f>(I40/52)/37.5</f>
        <v>0</v>
      </c>
      <c r="K40" s="61" t="s">
        <v>74</v>
      </c>
      <c r="L40" s="92"/>
    </row>
    <row r="41" spans="1:13" customFormat="1" ht="15" customHeight="1">
      <c r="A41" s="8"/>
      <c r="B41" s="8"/>
      <c r="C41" s="58"/>
      <c r="D41" s="200"/>
      <c r="E41" s="9"/>
      <c r="F41" s="98" t="s">
        <v>80</v>
      </c>
      <c r="G41" s="104" t="s">
        <v>73</v>
      </c>
      <c r="H41" s="142"/>
      <c r="I41" s="168">
        <f>(H41)*(1+H70+H71+H72)*(1+H77+H78)</f>
        <v>0</v>
      </c>
      <c r="J41" s="173">
        <f>(I41/52)/37.5</f>
        <v>0</v>
      </c>
      <c r="K41" s="140"/>
      <c r="L41" s="92"/>
    </row>
    <row r="42" spans="1:13" customFormat="1" ht="15" customHeight="1">
      <c r="A42" s="8"/>
      <c r="B42" s="8"/>
      <c r="C42" s="58"/>
      <c r="D42" s="200"/>
      <c r="E42" s="9"/>
      <c r="F42" s="32" t="s">
        <v>81</v>
      </c>
      <c r="G42" s="34"/>
      <c r="H42" s="34"/>
      <c r="I42" s="138">
        <f>SUM(I37:I41)</f>
        <v>0</v>
      </c>
      <c r="J42" s="57"/>
      <c r="K42" s="57"/>
      <c r="L42" s="43"/>
    </row>
    <row r="43" spans="1:13" customFormat="1" ht="15" customHeight="1">
      <c r="A43" s="8"/>
      <c r="B43" s="8"/>
      <c r="C43" s="58"/>
      <c r="D43" s="93"/>
      <c r="E43" s="9"/>
      <c r="F43" s="18"/>
      <c r="G43" s="18"/>
      <c r="H43" s="18"/>
      <c r="I43" s="18"/>
      <c r="J43" s="18"/>
      <c r="K43" s="105"/>
      <c r="L43" s="105"/>
    </row>
    <row r="44" spans="1:13" customFormat="1" ht="15" customHeight="1">
      <c r="A44" s="8"/>
      <c r="B44" s="8"/>
      <c r="C44" s="58"/>
      <c r="D44" s="201" t="s">
        <v>82</v>
      </c>
      <c r="E44" s="9"/>
      <c r="F44" s="46" t="s">
        <v>83</v>
      </c>
      <c r="G44" s="47"/>
      <c r="H44" s="47"/>
      <c r="I44" s="47"/>
      <c r="J44" s="47"/>
      <c r="K44" s="108"/>
      <c r="L44" s="106"/>
    </row>
    <row r="45" spans="1:13" customFormat="1" ht="15" customHeight="1">
      <c r="A45" s="8"/>
      <c r="B45" s="8"/>
      <c r="C45" s="58"/>
      <c r="D45" s="202"/>
      <c r="E45" s="9"/>
      <c r="F45" s="98" t="s">
        <v>84</v>
      </c>
      <c r="G45" s="100"/>
      <c r="H45" s="99"/>
      <c r="I45" s="41"/>
      <c r="J45" s="176" t="s">
        <v>85</v>
      </c>
      <c r="K45" s="61" t="s">
        <v>86</v>
      </c>
      <c r="L45" s="92"/>
    </row>
    <row r="46" spans="1:13" customFormat="1" ht="15" customHeight="1">
      <c r="A46" s="8"/>
      <c r="B46" s="8"/>
      <c r="C46" s="58"/>
      <c r="D46" s="202"/>
      <c r="E46" s="9"/>
      <c r="F46" s="98" t="s">
        <v>87</v>
      </c>
      <c r="G46" s="100"/>
      <c r="H46" s="99"/>
      <c r="I46" s="41"/>
      <c r="J46" s="176" t="s">
        <v>85</v>
      </c>
      <c r="K46" s="61" t="s">
        <v>88</v>
      </c>
      <c r="L46" s="92"/>
    </row>
    <row r="47" spans="1:13" customFormat="1" ht="15" customHeight="1">
      <c r="A47" s="8"/>
      <c r="B47" s="8"/>
      <c r="C47" s="58"/>
      <c r="D47" s="202"/>
      <c r="E47" s="9"/>
      <c r="F47" s="98" t="s">
        <v>89</v>
      </c>
      <c r="G47" s="100"/>
      <c r="H47" s="103"/>
      <c r="I47" s="102"/>
      <c r="J47" s="176" t="s">
        <v>85</v>
      </c>
      <c r="K47" s="61" t="s">
        <v>90</v>
      </c>
      <c r="L47" s="92"/>
    </row>
    <row r="48" spans="1:13" customFormat="1" ht="15" customHeight="1">
      <c r="A48" s="8"/>
      <c r="B48" s="8"/>
      <c r="C48" s="58"/>
      <c r="D48" s="202"/>
      <c r="E48" s="9"/>
      <c r="F48" s="98" t="s">
        <v>91</v>
      </c>
      <c r="G48" s="100"/>
      <c r="H48" s="103"/>
      <c r="I48" s="102"/>
      <c r="J48" s="176" t="s">
        <v>85</v>
      </c>
      <c r="K48" s="61"/>
      <c r="L48" s="92"/>
    </row>
    <row r="49" spans="1:12" customFormat="1" ht="15" customHeight="1">
      <c r="A49" s="8"/>
      <c r="B49" s="8"/>
      <c r="C49" s="58"/>
      <c r="D49" s="202"/>
      <c r="E49" s="9"/>
      <c r="F49" s="98" t="s">
        <v>92</v>
      </c>
      <c r="G49" s="100"/>
      <c r="H49" s="103"/>
      <c r="I49" s="102"/>
      <c r="J49" s="176" t="s">
        <v>85</v>
      </c>
      <c r="K49" s="61"/>
      <c r="L49" s="92"/>
    </row>
    <row r="50" spans="1:12" customFormat="1" ht="15" customHeight="1">
      <c r="A50" s="8"/>
      <c r="B50" s="8"/>
      <c r="C50" s="58"/>
      <c r="D50" s="202"/>
      <c r="E50" s="9"/>
      <c r="F50" s="98" t="s">
        <v>93</v>
      </c>
      <c r="G50" s="100"/>
      <c r="H50" s="103"/>
      <c r="I50" s="102"/>
      <c r="J50" s="176" t="s">
        <v>85</v>
      </c>
      <c r="K50" s="61"/>
      <c r="L50" s="92"/>
    </row>
    <row r="51" spans="1:12" customFormat="1" ht="15" customHeight="1">
      <c r="A51" s="8"/>
      <c r="B51" s="8"/>
      <c r="C51" s="58"/>
      <c r="D51" s="202"/>
      <c r="E51" s="9"/>
      <c r="F51" s="98" t="s">
        <v>94</v>
      </c>
      <c r="G51" s="100"/>
      <c r="H51" s="103"/>
      <c r="I51" s="174" t="e">
        <f>1*G25</f>
        <v>#DIV/0!</v>
      </c>
      <c r="J51" s="176" t="s">
        <v>85</v>
      </c>
      <c r="K51" s="61" t="s">
        <v>95</v>
      </c>
      <c r="L51" s="92"/>
    </row>
    <row r="52" spans="1:12" customFormat="1" ht="15" customHeight="1">
      <c r="A52" s="8"/>
      <c r="B52" s="8"/>
      <c r="C52" s="58"/>
      <c r="D52" s="202"/>
      <c r="E52" s="9"/>
      <c r="F52" s="98" t="s">
        <v>96</v>
      </c>
      <c r="G52" s="100"/>
      <c r="H52" s="103"/>
      <c r="I52" s="102"/>
      <c r="J52" s="176" t="s">
        <v>85</v>
      </c>
      <c r="K52" s="61"/>
      <c r="L52" s="92"/>
    </row>
    <row r="53" spans="1:12" customFormat="1" ht="15" customHeight="1">
      <c r="A53" s="8"/>
      <c r="B53" s="8"/>
      <c r="C53" s="58"/>
      <c r="D53" s="203"/>
      <c r="E53" s="9"/>
      <c r="F53" s="32" t="s">
        <v>81</v>
      </c>
      <c r="G53" s="34"/>
      <c r="H53" s="34"/>
      <c r="I53" s="175" t="e">
        <f>SUM(I45:I52)</f>
        <v>#DIV/0!</v>
      </c>
      <c r="J53" s="57"/>
      <c r="K53" s="57"/>
      <c r="L53" s="43"/>
    </row>
    <row r="54" spans="1:12" s="20" customFormat="1" ht="14.45">
      <c r="A54" s="8"/>
      <c r="B54" s="8"/>
      <c r="C54" s="58"/>
      <c r="D54" s="54"/>
      <c r="E54" s="9"/>
      <c r="F54" s="16"/>
      <c r="G54" s="87"/>
      <c r="H54" s="16"/>
      <c r="I54" s="16"/>
      <c r="J54" s="19"/>
      <c r="K54" s="18"/>
      <c r="L54" s="18"/>
    </row>
    <row r="55" spans="1:12" s="20" customFormat="1" ht="14.45">
      <c r="A55" s="8"/>
      <c r="B55" s="8"/>
      <c r="C55" s="58"/>
      <c r="D55" s="54"/>
      <c r="E55" s="9"/>
      <c r="F55" s="117" t="s">
        <v>97</v>
      </c>
      <c r="G55" s="118"/>
      <c r="H55" s="119"/>
      <c r="I55" s="120" t="e">
        <f>I53+I42</f>
        <v>#DIV/0!</v>
      </c>
      <c r="J55" s="19"/>
      <c r="K55" s="18"/>
      <c r="L55" s="18"/>
    </row>
    <row r="56" spans="1:12" s="20" customFormat="1" ht="14.45">
      <c r="A56" s="8"/>
      <c r="B56" s="8"/>
      <c r="C56" s="58"/>
      <c r="D56" s="54"/>
      <c r="E56" s="9"/>
      <c r="F56" s="16"/>
      <c r="G56" s="87"/>
      <c r="H56" s="16"/>
      <c r="I56" s="16"/>
      <c r="J56" s="19"/>
      <c r="K56" s="18"/>
      <c r="L56" s="18"/>
    </row>
    <row r="57" spans="1:12" s="20" customFormat="1" ht="14.45">
      <c r="A57" s="8"/>
      <c r="B57" s="8"/>
      <c r="C57" s="58"/>
      <c r="D57" s="9"/>
      <c r="E57" s="9"/>
      <c r="F57" s="18"/>
      <c r="G57" s="18"/>
      <c r="H57" s="18"/>
      <c r="I57" s="18"/>
      <c r="J57" s="18"/>
      <c r="K57" s="18"/>
      <c r="L57" s="18"/>
    </row>
    <row r="58" spans="1:12" s="20" customFormat="1" ht="15" customHeight="1">
      <c r="A58" s="8"/>
      <c r="B58" s="8"/>
      <c r="C58" s="58"/>
      <c r="D58" s="201" t="s">
        <v>98</v>
      </c>
      <c r="E58" s="9"/>
      <c r="F58" s="59" t="s">
        <v>99</v>
      </c>
      <c r="G58" s="39"/>
      <c r="H58" s="39"/>
      <c r="I58" s="39"/>
      <c r="J58" s="40"/>
      <c r="K58" s="39"/>
      <c r="L58" s="39"/>
    </row>
    <row r="59" spans="1:12" customFormat="1" ht="47.25" customHeight="1">
      <c r="A59" s="8"/>
      <c r="B59" s="8"/>
      <c r="C59" s="58"/>
      <c r="D59" s="202"/>
      <c r="E59" s="9"/>
      <c r="F59" s="132" t="s">
        <v>21</v>
      </c>
      <c r="G59" s="132" t="s">
        <v>22</v>
      </c>
      <c r="H59" s="132" t="s">
        <v>23</v>
      </c>
      <c r="I59" s="133" t="s">
        <v>100</v>
      </c>
      <c r="J59" s="134" t="s">
        <v>101</v>
      </c>
      <c r="K59" s="206" t="s">
        <v>24</v>
      </c>
      <c r="L59" s="207"/>
    </row>
    <row r="60" spans="1:12" customFormat="1" ht="14.45">
      <c r="A60" s="8"/>
      <c r="B60" s="8"/>
      <c r="C60" s="58"/>
      <c r="D60" s="202"/>
      <c r="E60" s="9"/>
      <c r="F60" s="45" t="s">
        <v>102</v>
      </c>
      <c r="G60" s="49"/>
      <c r="H60" s="49"/>
      <c r="I60" s="50"/>
      <c r="J60" s="50"/>
      <c r="K60" s="73"/>
      <c r="L60" s="79"/>
    </row>
    <row r="61" spans="1:12" customFormat="1" ht="15" customHeight="1">
      <c r="A61" s="8"/>
      <c r="B61" s="8"/>
      <c r="C61" s="58"/>
      <c r="D61" s="202"/>
      <c r="E61" s="9"/>
      <c r="F61" s="21" t="s">
        <v>103</v>
      </c>
      <c r="G61" s="21" t="s">
        <v>104</v>
      </c>
      <c r="H61" s="24"/>
      <c r="I61" s="173">
        <f>H61</f>
        <v>0</v>
      </c>
      <c r="J61" s="173">
        <f>H61</f>
        <v>0</v>
      </c>
      <c r="K61" s="109" t="s">
        <v>105</v>
      </c>
      <c r="L61" s="60"/>
    </row>
    <row r="62" spans="1:12" customFormat="1" ht="15" customHeight="1">
      <c r="A62" s="8"/>
      <c r="B62" s="8"/>
      <c r="C62" s="58"/>
      <c r="D62" s="202"/>
      <c r="E62" s="9"/>
      <c r="F62" s="21" t="s">
        <v>106</v>
      </c>
      <c r="G62" s="21" t="s">
        <v>107</v>
      </c>
      <c r="H62" s="30">
        <v>0</v>
      </c>
      <c r="I62" s="173">
        <f>I61*H62</f>
        <v>0</v>
      </c>
      <c r="J62" s="173">
        <f>(J61*H62)</f>
        <v>0</v>
      </c>
      <c r="K62" s="109" t="s">
        <v>108</v>
      </c>
      <c r="L62" s="60"/>
    </row>
    <row r="63" spans="1:12" customFormat="1" ht="15" customHeight="1">
      <c r="A63" s="8"/>
      <c r="B63" s="8"/>
      <c r="C63" s="58"/>
      <c r="D63" s="202"/>
      <c r="E63" s="9"/>
      <c r="F63" s="21" t="s">
        <v>109</v>
      </c>
      <c r="G63" s="21" t="s">
        <v>107</v>
      </c>
      <c r="H63" s="30">
        <v>0</v>
      </c>
      <c r="I63" s="173">
        <f>I61*H63</f>
        <v>0</v>
      </c>
      <c r="J63" s="173">
        <f>(J61*H63)</f>
        <v>0</v>
      </c>
      <c r="K63" s="109" t="s">
        <v>110</v>
      </c>
      <c r="L63" s="60"/>
    </row>
    <row r="64" spans="1:12" customFormat="1" ht="15" customHeight="1">
      <c r="A64" s="8"/>
      <c r="B64" s="8"/>
      <c r="C64" s="58"/>
      <c r="D64" s="202"/>
      <c r="E64" s="9"/>
      <c r="F64" s="23" t="s">
        <v>96</v>
      </c>
      <c r="G64" s="23"/>
      <c r="H64" s="30"/>
      <c r="I64" s="24">
        <v>0</v>
      </c>
      <c r="J64" s="24">
        <v>0</v>
      </c>
      <c r="K64" s="82"/>
      <c r="L64" s="80"/>
    </row>
    <row r="65" spans="1:19" customFormat="1" ht="15" customHeight="1">
      <c r="A65" s="8"/>
      <c r="B65" s="8"/>
      <c r="C65" s="58"/>
      <c r="D65" s="203"/>
      <c r="E65" s="54"/>
      <c r="F65" s="32" t="s">
        <v>111</v>
      </c>
      <c r="G65" s="37"/>
      <c r="H65" s="36"/>
      <c r="I65" s="178" t="e">
        <f>((8*I63*7.5)+(52*2*I62*7.5)+((365-8-(52*2))*I61*7.5))/(G13*37.5)</f>
        <v>#DIV/0!</v>
      </c>
      <c r="J65" s="178" t="e">
        <f>((8*J63*7.5)+(52*2*J62*7.5)+((365-8-(52*2))*J61*7.5))/(G13*37.5)</f>
        <v>#DIV/0!</v>
      </c>
      <c r="K65" s="109" t="s">
        <v>112</v>
      </c>
      <c r="L65" s="60"/>
    </row>
    <row r="66" spans="1:19" customFormat="1" ht="15" customHeight="1">
      <c r="A66" s="8"/>
      <c r="B66" s="8"/>
      <c r="C66" s="58"/>
      <c r="D66" s="9"/>
      <c r="E66" s="9"/>
      <c r="F66" s="34"/>
      <c r="G66" s="34"/>
      <c r="H66" s="34"/>
      <c r="I66" s="35"/>
      <c r="J66" s="35"/>
      <c r="K66" s="17"/>
    </row>
    <row r="67" spans="1:19" customFormat="1" ht="15" customHeight="1">
      <c r="A67" s="8"/>
      <c r="B67" s="8"/>
      <c r="C67" s="58"/>
      <c r="D67" s="200" t="s">
        <v>113</v>
      </c>
      <c r="E67" s="9"/>
      <c r="F67" s="46" t="s">
        <v>114</v>
      </c>
      <c r="G67" s="47"/>
      <c r="H67" s="47"/>
      <c r="I67" s="48"/>
      <c r="J67" s="48"/>
      <c r="K67" s="83"/>
      <c r="L67" s="79"/>
    </row>
    <row r="68" spans="1:19" customFormat="1" ht="15" customHeight="1">
      <c r="A68" s="8"/>
      <c r="B68" s="8"/>
      <c r="C68" s="58"/>
      <c r="D68" s="200"/>
      <c r="E68" s="9"/>
      <c r="F68" s="21" t="s">
        <v>115</v>
      </c>
      <c r="G68" s="21" t="s">
        <v>116</v>
      </c>
      <c r="H68" s="23"/>
      <c r="I68" s="173" t="e">
        <f>(H68/60)*I65</f>
        <v>#DIV/0!</v>
      </c>
      <c r="J68" s="173" t="e">
        <f>(H68/60)*J65</f>
        <v>#DIV/0!</v>
      </c>
      <c r="K68" s="109" t="s">
        <v>117</v>
      </c>
      <c r="L68" s="60"/>
    </row>
    <row r="69" spans="1:19" customFormat="1" ht="15" customHeight="1">
      <c r="A69" s="8"/>
      <c r="B69" s="8"/>
      <c r="C69" s="58"/>
      <c r="D69" s="200"/>
      <c r="E69" s="9"/>
      <c r="F69" s="29" t="s">
        <v>118</v>
      </c>
      <c r="G69" s="29" t="s">
        <v>119</v>
      </c>
      <c r="H69" s="23"/>
      <c r="I69" s="177" t="e">
        <f>(((H69)*7.5)/(G18*52))*I61</f>
        <v>#DIV/0!</v>
      </c>
      <c r="J69" s="177" t="e">
        <f>(((H69)*7.5)/(G18*52))*I61</f>
        <v>#DIV/0!</v>
      </c>
      <c r="K69" s="84" t="s">
        <v>120</v>
      </c>
      <c r="L69" s="60"/>
      <c r="M69" s="20"/>
    </row>
    <row r="70" spans="1:19" customFormat="1" ht="15" customHeight="1">
      <c r="A70" s="8"/>
      <c r="B70" s="8"/>
      <c r="C70" s="58"/>
      <c r="D70" s="200"/>
      <c r="E70" s="9"/>
      <c r="F70" s="29" t="s">
        <v>121</v>
      </c>
      <c r="G70" s="21" t="s">
        <v>122</v>
      </c>
      <c r="H70" s="30">
        <v>0</v>
      </c>
      <c r="I70" s="173">
        <f>H70*I61</f>
        <v>0</v>
      </c>
      <c r="J70" s="173">
        <f>H70*J61</f>
        <v>0</v>
      </c>
      <c r="K70" s="81" t="s">
        <v>123</v>
      </c>
      <c r="L70" s="60"/>
    </row>
    <row r="71" spans="1:19" customFormat="1" ht="15" customHeight="1">
      <c r="A71" s="8"/>
      <c r="B71" s="8"/>
      <c r="C71" s="58"/>
      <c r="D71" s="200"/>
      <c r="E71" s="9"/>
      <c r="F71" s="29" t="s">
        <v>124</v>
      </c>
      <c r="G71" s="21" t="s">
        <v>122</v>
      </c>
      <c r="H71" s="30">
        <v>0</v>
      </c>
      <c r="I71" s="173">
        <f>H71*I61</f>
        <v>0</v>
      </c>
      <c r="J71" s="173">
        <f>H71*J61</f>
        <v>0</v>
      </c>
      <c r="K71" s="81" t="s">
        <v>125</v>
      </c>
      <c r="L71" s="60"/>
      <c r="R71">
        <v>71.7</v>
      </c>
      <c r="S71">
        <v>60</v>
      </c>
    </row>
    <row r="72" spans="1:19" customFormat="1" ht="15" customHeight="1">
      <c r="A72" s="8"/>
      <c r="B72" s="8"/>
      <c r="C72" s="58"/>
      <c r="D72" s="200"/>
      <c r="E72" s="9"/>
      <c r="F72" s="29" t="s">
        <v>126</v>
      </c>
      <c r="G72" s="21" t="s">
        <v>122</v>
      </c>
      <c r="H72" s="30">
        <v>0</v>
      </c>
      <c r="I72" s="173" t="e">
        <f>H72*(SUM(I68:I71)+I65)</f>
        <v>#DIV/0!</v>
      </c>
      <c r="J72" s="173" t="e">
        <f>H72*(SUM(J68:J71)+J65)</f>
        <v>#DIV/0!</v>
      </c>
      <c r="K72" s="84" t="s">
        <v>127</v>
      </c>
      <c r="L72" s="60"/>
      <c r="R72">
        <v>60</v>
      </c>
      <c r="S72">
        <v>52</v>
      </c>
    </row>
    <row r="73" spans="1:19" customFormat="1" ht="15" customHeight="1">
      <c r="A73" s="8"/>
      <c r="B73" s="8"/>
      <c r="C73" s="58"/>
      <c r="D73" s="200"/>
      <c r="E73" s="9"/>
      <c r="F73" s="23" t="s">
        <v>96</v>
      </c>
      <c r="G73" s="23"/>
      <c r="H73" s="30"/>
      <c r="I73" s="24">
        <v>0</v>
      </c>
      <c r="J73" s="24">
        <v>0</v>
      </c>
      <c r="K73" s="82"/>
      <c r="L73" s="80"/>
      <c r="R73">
        <f>R72/R71</f>
        <v>0.83682008368200833</v>
      </c>
      <c r="S73">
        <f>S72/S71</f>
        <v>0.8666666666666667</v>
      </c>
    </row>
    <row r="74" spans="1:19" customFormat="1" ht="15" customHeight="1">
      <c r="A74" s="8"/>
      <c r="B74" s="8"/>
      <c r="C74" s="58"/>
      <c r="D74" s="200"/>
      <c r="E74" s="54"/>
      <c r="F74" s="32" t="s">
        <v>128</v>
      </c>
      <c r="G74" s="37"/>
      <c r="H74" s="36"/>
      <c r="I74" s="178" t="e">
        <f>SUM(I68:I73)</f>
        <v>#DIV/0!</v>
      </c>
      <c r="J74" s="178" t="e">
        <f>SUM(J68:J73)</f>
        <v>#DIV/0!</v>
      </c>
      <c r="K74" s="81"/>
      <c r="L74" s="60"/>
    </row>
    <row r="75" spans="1:19" customFormat="1" ht="15" customHeight="1">
      <c r="A75" s="8"/>
      <c r="B75" s="8"/>
      <c r="C75" s="9"/>
      <c r="D75" s="65"/>
      <c r="E75" s="54"/>
      <c r="F75" s="34"/>
      <c r="G75" s="37"/>
      <c r="H75" s="64"/>
      <c r="I75" s="57"/>
      <c r="J75" s="57"/>
      <c r="K75" s="17"/>
      <c r="R75">
        <f>R71-R72</f>
        <v>11.700000000000003</v>
      </c>
    </row>
    <row r="76" spans="1:19" customFormat="1" ht="15" customHeight="1">
      <c r="A76" s="8"/>
      <c r="B76" s="8"/>
      <c r="C76" s="58"/>
      <c r="D76" s="200" t="s">
        <v>129</v>
      </c>
      <c r="E76" s="9"/>
      <c r="F76" s="46" t="s">
        <v>130</v>
      </c>
      <c r="G76" s="47"/>
      <c r="H76" s="47"/>
      <c r="I76" s="48"/>
      <c r="J76" s="48"/>
      <c r="K76" s="83"/>
      <c r="L76" s="79"/>
      <c r="R76">
        <f>R75/R72</f>
        <v>0.19500000000000003</v>
      </c>
      <c r="S76">
        <f>8/52</f>
        <v>0.15384615384615385</v>
      </c>
    </row>
    <row r="77" spans="1:19" customFormat="1" ht="15" customHeight="1">
      <c r="A77" s="8"/>
      <c r="B77" s="8"/>
      <c r="C77" s="58"/>
      <c r="D77" s="200"/>
      <c r="E77" s="9"/>
      <c r="F77" s="21" t="s">
        <v>131</v>
      </c>
      <c r="G77" s="21" t="s">
        <v>122</v>
      </c>
      <c r="H77" s="30">
        <v>0</v>
      </c>
      <c r="I77" s="173" t="e">
        <f>H77*(I65+I74)</f>
        <v>#DIV/0!</v>
      </c>
      <c r="J77" s="173" t="e">
        <f>H77*(J65+J74)</f>
        <v>#DIV/0!</v>
      </c>
      <c r="K77" s="84" t="s">
        <v>132</v>
      </c>
      <c r="L77" s="60"/>
    </row>
    <row r="78" spans="1:19" customFormat="1" ht="15" customHeight="1">
      <c r="A78" s="8"/>
      <c r="B78" s="8"/>
      <c r="C78" s="58"/>
      <c r="D78" s="200"/>
      <c r="E78" s="9"/>
      <c r="F78" s="29" t="s">
        <v>133</v>
      </c>
      <c r="G78" s="21" t="s">
        <v>122</v>
      </c>
      <c r="H78" s="30">
        <v>0</v>
      </c>
      <c r="I78" s="173" t="e">
        <f>H78*(I65+I74)</f>
        <v>#DIV/0!</v>
      </c>
      <c r="J78" s="173" t="e">
        <f>H78*(J65+J74)</f>
        <v>#DIV/0!</v>
      </c>
      <c r="K78" s="84" t="s">
        <v>134</v>
      </c>
      <c r="L78" s="60"/>
    </row>
    <row r="79" spans="1:19" customFormat="1" ht="15" customHeight="1">
      <c r="A79" s="8"/>
      <c r="B79" s="8"/>
      <c r="C79" s="58"/>
      <c r="D79" s="200"/>
      <c r="E79" s="9"/>
      <c r="F79" s="23" t="s">
        <v>96</v>
      </c>
      <c r="G79" s="23"/>
      <c r="H79" s="30"/>
      <c r="I79" s="24">
        <v>0</v>
      </c>
      <c r="J79" s="24">
        <v>0</v>
      </c>
      <c r="K79" s="82"/>
      <c r="L79" s="80"/>
    </row>
    <row r="80" spans="1:19" customFormat="1" ht="15" customHeight="1">
      <c r="A80" s="8"/>
      <c r="B80" s="8"/>
      <c r="C80" s="58"/>
      <c r="D80" s="200"/>
      <c r="E80" s="54"/>
      <c r="F80" s="32" t="s">
        <v>135</v>
      </c>
      <c r="G80" s="37"/>
      <c r="H80" s="36"/>
      <c r="I80" s="178" t="e">
        <f>SUM(I77:I79)</f>
        <v>#DIV/0!</v>
      </c>
      <c r="J80" s="178" t="e">
        <f>SUM(J77:J79)</f>
        <v>#DIV/0!</v>
      </c>
      <c r="K80" s="81"/>
      <c r="L80" s="60"/>
    </row>
    <row r="81" spans="1:14" customFormat="1" ht="15" customHeight="1">
      <c r="A81" s="8"/>
      <c r="B81" s="8"/>
      <c r="C81" s="58"/>
      <c r="D81" s="9"/>
      <c r="E81" s="9"/>
      <c r="F81" s="34"/>
      <c r="G81" s="34"/>
      <c r="H81" s="34"/>
      <c r="I81" s="35"/>
      <c r="J81" s="35"/>
      <c r="K81" s="17"/>
    </row>
    <row r="82" spans="1:14" customFormat="1" ht="15" customHeight="1">
      <c r="A82" s="8"/>
      <c r="B82" s="8"/>
      <c r="C82" s="58"/>
      <c r="D82" s="200" t="s">
        <v>136</v>
      </c>
      <c r="E82" s="9"/>
      <c r="F82" s="46" t="s">
        <v>137</v>
      </c>
      <c r="G82" s="47"/>
      <c r="H82" s="47"/>
      <c r="I82" s="48"/>
      <c r="J82" s="48"/>
      <c r="K82" s="83"/>
      <c r="L82" s="79"/>
    </row>
    <row r="83" spans="1:14" customFormat="1" ht="15" customHeight="1">
      <c r="A83" s="8"/>
      <c r="B83" s="8"/>
      <c r="C83" s="58"/>
      <c r="D83" s="200"/>
      <c r="E83" s="9"/>
      <c r="F83" s="21" t="s">
        <v>138</v>
      </c>
      <c r="G83" s="21" t="s">
        <v>139</v>
      </c>
      <c r="H83" s="24"/>
      <c r="I83" s="48" t="e">
        <f>((G14+G15+G16)*G30*H83)*((H18/(H18+H19))/H18)</f>
        <v>#DIV/0!</v>
      </c>
      <c r="J83" s="173" t="e">
        <f>((G14+G15+G16)*G30*H83)*((H18/(H18+H19))/H18)</f>
        <v>#DIV/0!</v>
      </c>
      <c r="K83" s="85" t="s">
        <v>140</v>
      </c>
      <c r="L83" s="60"/>
    </row>
    <row r="84" spans="1:14" customFormat="1" ht="15" customHeight="1">
      <c r="A84" s="8"/>
      <c r="B84" s="8"/>
      <c r="C84" s="58"/>
      <c r="D84" s="200"/>
      <c r="E84" s="9"/>
      <c r="F84" s="23" t="s">
        <v>96</v>
      </c>
      <c r="G84" s="23"/>
      <c r="H84" s="30"/>
      <c r="I84" s="24">
        <v>0</v>
      </c>
      <c r="J84" s="24">
        <v>0</v>
      </c>
      <c r="K84" s="82"/>
      <c r="L84" s="80"/>
    </row>
    <row r="85" spans="1:14" customFormat="1" ht="15" customHeight="1">
      <c r="A85" s="8"/>
      <c r="B85" s="8"/>
      <c r="C85" s="58"/>
      <c r="D85" s="200"/>
      <c r="E85" s="9"/>
      <c r="F85" s="32" t="s">
        <v>135</v>
      </c>
      <c r="G85" s="37"/>
      <c r="H85" s="36"/>
      <c r="I85" s="178" t="e">
        <f>SUM(I83:I84)</f>
        <v>#DIV/0!</v>
      </c>
      <c r="J85" s="178" t="e">
        <f>SUM(J83:J84)</f>
        <v>#DIV/0!</v>
      </c>
      <c r="K85" s="81"/>
      <c r="L85" s="60"/>
    </row>
    <row r="86" spans="1:14" customFormat="1" ht="15" customHeight="1">
      <c r="A86" s="8"/>
      <c r="B86" s="8"/>
      <c r="C86" s="58"/>
      <c r="D86" s="9"/>
      <c r="E86" s="9"/>
      <c r="F86" s="34"/>
      <c r="G86" s="34"/>
      <c r="H86" s="34"/>
      <c r="I86" s="34"/>
      <c r="J86" s="35"/>
      <c r="L86" s="17"/>
    </row>
    <row r="87" spans="1:14" customFormat="1" ht="15" customHeight="1">
      <c r="A87" s="8"/>
      <c r="B87" s="8"/>
      <c r="C87" s="58"/>
      <c r="D87" s="9"/>
      <c r="E87" s="9"/>
      <c r="F87" s="117" t="s">
        <v>141</v>
      </c>
      <c r="G87" s="121"/>
      <c r="H87" s="122"/>
      <c r="I87" s="178" t="e">
        <f>I85+I74+I80+I65</f>
        <v>#DIV/0!</v>
      </c>
      <c r="J87" s="178" t="e">
        <f>J85+J74+J80+J65</f>
        <v>#DIV/0!</v>
      </c>
      <c r="L87" s="17"/>
    </row>
    <row r="88" spans="1:14" customFormat="1" ht="15" customHeight="1">
      <c r="A88" s="8"/>
      <c r="B88" s="8"/>
      <c r="C88" s="58"/>
      <c r="D88" s="9"/>
      <c r="E88" s="9"/>
      <c r="F88" s="16"/>
      <c r="G88" s="16"/>
      <c r="H88" s="16"/>
      <c r="I88" s="16"/>
      <c r="J88" s="19"/>
      <c r="K88" s="19"/>
      <c r="L88" s="17"/>
    </row>
    <row r="89" spans="1:14" s="20" customFormat="1" ht="15" customHeight="1">
      <c r="A89" s="8"/>
      <c r="B89" s="8"/>
      <c r="C89" s="58"/>
      <c r="D89" s="201" t="s">
        <v>142</v>
      </c>
      <c r="E89" s="9"/>
      <c r="F89" s="59" t="s">
        <v>143</v>
      </c>
      <c r="G89" s="39"/>
      <c r="H89" s="39"/>
      <c r="I89" s="39"/>
      <c r="J89" s="40"/>
      <c r="K89" s="39"/>
      <c r="L89" s="39"/>
      <c r="N89"/>
    </row>
    <row r="90" spans="1:14" customFormat="1" ht="47.25" customHeight="1">
      <c r="A90" s="8"/>
      <c r="B90" s="8"/>
      <c r="C90" s="58"/>
      <c r="D90" s="202"/>
      <c r="E90" s="9"/>
      <c r="F90" s="132" t="s">
        <v>21</v>
      </c>
      <c r="G90" s="132" t="s">
        <v>22</v>
      </c>
      <c r="H90" s="132" t="s">
        <v>23</v>
      </c>
      <c r="I90" s="133" t="s">
        <v>100</v>
      </c>
      <c r="J90" s="134" t="s">
        <v>101</v>
      </c>
      <c r="K90" s="206" t="s">
        <v>24</v>
      </c>
      <c r="L90" s="207"/>
    </row>
    <row r="91" spans="1:14" customFormat="1" ht="14.45">
      <c r="A91" s="8"/>
      <c r="B91" s="8"/>
      <c r="C91" s="58"/>
      <c r="D91" s="202"/>
      <c r="E91" s="9"/>
      <c r="F91" s="45" t="s">
        <v>102</v>
      </c>
      <c r="G91" s="49"/>
      <c r="H91" s="49"/>
      <c r="I91" s="50"/>
      <c r="J91" s="50"/>
      <c r="K91" s="73"/>
      <c r="L91" s="79"/>
    </row>
    <row r="92" spans="1:14" customFormat="1" ht="15" customHeight="1">
      <c r="A92" s="8"/>
      <c r="B92" s="8"/>
      <c r="C92" s="58"/>
      <c r="D92" s="202"/>
      <c r="E92" s="9"/>
      <c r="F92" s="21" t="s">
        <v>103</v>
      </c>
      <c r="G92" s="21" t="s">
        <v>104</v>
      </c>
      <c r="H92" s="173">
        <f>IF(G23&gt;0,10,0)</f>
        <v>0</v>
      </c>
      <c r="I92" s="173">
        <f>H92</f>
        <v>0</v>
      </c>
      <c r="J92" s="173">
        <f>H92</f>
        <v>0</v>
      </c>
      <c r="K92" s="109" t="s">
        <v>105</v>
      </c>
      <c r="L92" s="60"/>
    </row>
    <row r="93" spans="1:14" customFormat="1" ht="15" customHeight="1">
      <c r="A93" s="8"/>
      <c r="B93" s="8"/>
      <c r="C93" s="58"/>
      <c r="D93" s="202"/>
      <c r="E93" s="9"/>
      <c r="F93" s="21" t="s">
        <v>106</v>
      </c>
      <c r="G93" s="21" t="s">
        <v>107</v>
      </c>
      <c r="H93" s="179">
        <f>IF(G23&gt;0,7.5%,0)</f>
        <v>0</v>
      </c>
      <c r="I93" s="173">
        <f>I92*H93</f>
        <v>0</v>
      </c>
      <c r="J93" s="173">
        <f>(J92*H93)</f>
        <v>0</v>
      </c>
      <c r="K93" s="109" t="s">
        <v>108</v>
      </c>
      <c r="L93" s="60"/>
    </row>
    <row r="94" spans="1:14" customFormat="1" ht="15" customHeight="1">
      <c r="A94" s="8"/>
      <c r="B94" s="8"/>
      <c r="C94" s="58"/>
      <c r="D94" s="202"/>
      <c r="E94" s="9"/>
      <c r="F94" s="21" t="s">
        <v>109</v>
      </c>
      <c r="G94" s="21" t="s">
        <v>107</v>
      </c>
      <c r="H94" s="179">
        <f>IF(G23&gt;0,25%,0%)</f>
        <v>0</v>
      </c>
      <c r="I94" s="173">
        <f>I92*H94</f>
        <v>0</v>
      </c>
      <c r="J94" s="173">
        <f>(J92*H94)</f>
        <v>0</v>
      </c>
      <c r="K94" s="109" t="s">
        <v>110</v>
      </c>
      <c r="L94" s="60"/>
    </row>
    <row r="95" spans="1:14" customFormat="1" ht="15" customHeight="1">
      <c r="A95" s="8"/>
      <c r="B95" s="8"/>
      <c r="C95" s="58"/>
      <c r="D95" s="202"/>
      <c r="E95" s="9"/>
      <c r="F95" s="23" t="s">
        <v>96</v>
      </c>
      <c r="G95" s="23"/>
      <c r="H95" s="30"/>
      <c r="I95" s="24">
        <v>0</v>
      </c>
      <c r="J95" s="24">
        <f>(J34+J44)*H95</f>
        <v>0</v>
      </c>
      <c r="K95" s="82"/>
      <c r="L95" s="80"/>
    </row>
    <row r="96" spans="1:14" customFormat="1" ht="15" customHeight="1">
      <c r="A96" s="8"/>
      <c r="B96" s="8"/>
      <c r="C96" s="58"/>
      <c r="D96" s="203"/>
      <c r="E96" s="54"/>
      <c r="F96" s="32" t="s">
        <v>111</v>
      </c>
      <c r="G96" s="37"/>
      <c r="H96" s="36"/>
      <c r="I96" s="178" t="e">
        <f>((8*I94*7.5)+(52*2*I93*7.5)+((365-8-(52*2))*I92*7.5))/(G13*37.5)</f>
        <v>#DIV/0!</v>
      </c>
      <c r="J96" s="178" t="e">
        <f>((8*J94*7.5)+(52*2*J93*7.5)+((365-8-(52*2))*J92*7.5))/(G13*37.5)</f>
        <v>#DIV/0!</v>
      </c>
      <c r="K96" s="109" t="s">
        <v>112</v>
      </c>
      <c r="L96" s="60"/>
    </row>
    <row r="97" spans="1:13" customFormat="1" ht="15" customHeight="1">
      <c r="A97" s="8"/>
      <c r="B97" s="8"/>
      <c r="C97" s="58"/>
      <c r="D97" s="9"/>
      <c r="E97" s="9"/>
      <c r="F97" s="34"/>
      <c r="G97" s="34"/>
      <c r="H97" s="34"/>
      <c r="I97" s="35"/>
      <c r="J97" s="35"/>
      <c r="K97" s="17"/>
    </row>
    <row r="98" spans="1:13" customFormat="1" ht="15" customHeight="1">
      <c r="A98" s="8"/>
      <c r="B98" s="8"/>
      <c r="C98" s="58"/>
      <c r="D98" s="200" t="s">
        <v>144</v>
      </c>
      <c r="E98" s="9"/>
      <c r="F98" s="46" t="s">
        <v>114</v>
      </c>
      <c r="G98" s="47"/>
      <c r="H98" s="47"/>
      <c r="I98" s="48"/>
      <c r="J98" s="48"/>
      <c r="K98" s="83"/>
      <c r="L98" s="79"/>
    </row>
    <row r="99" spans="1:13" customFormat="1" ht="15" customHeight="1">
      <c r="A99" s="8"/>
      <c r="B99" s="8"/>
      <c r="C99" s="58"/>
      <c r="D99" s="200"/>
      <c r="E99" s="9"/>
      <c r="F99" s="21" t="s">
        <v>115</v>
      </c>
      <c r="G99" s="21" t="s">
        <v>116</v>
      </c>
      <c r="H99" s="23"/>
      <c r="I99" s="173" t="e">
        <f>(H99/60)*I96</f>
        <v>#DIV/0!</v>
      </c>
      <c r="J99" s="173" t="e">
        <f>(H99/60)*J96</f>
        <v>#DIV/0!</v>
      </c>
      <c r="K99" s="109" t="s">
        <v>117</v>
      </c>
      <c r="L99" s="60"/>
    </row>
    <row r="100" spans="1:13" customFormat="1" ht="15" customHeight="1">
      <c r="A100" s="8"/>
      <c r="B100" s="8"/>
      <c r="C100" s="58"/>
      <c r="D100" s="200"/>
      <c r="E100" s="9"/>
      <c r="F100" s="29" t="s">
        <v>118</v>
      </c>
      <c r="G100" s="29" t="s">
        <v>119</v>
      </c>
      <c r="H100" s="23"/>
      <c r="I100" s="177">
        <f>IF(G23&gt;0,(((H100)*7.5)/(G19*52))*I92,0)</f>
        <v>0</v>
      </c>
      <c r="J100" s="177">
        <f>IF(G23&gt;0,(((H100)*7.5)/(G19*52))*I92,0)</f>
        <v>0</v>
      </c>
      <c r="K100" s="84" t="s">
        <v>120</v>
      </c>
      <c r="L100" s="60"/>
      <c r="M100" s="20"/>
    </row>
    <row r="101" spans="1:13" customFormat="1" ht="15" customHeight="1">
      <c r="A101" s="8"/>
      <c r="B101" s="8"/>
      <c r="C101" s="58"/>
      <c r="D101" s="200"/>
      <c r="E101" s="9"/>
      <c r="F101" s="29" t="s">
        <v>121</v>
      </c>
      <c r="G101" s="21" t="s">
        <v>122</v>
      </c>
      <c r="H101" s="30">
        <v>0</v>
      </c>
      <c r="I101" s="173">
        <f>H101*I92</f>
        <v>0</v>
      </c>
      <c r="J101" s="173">
        <f>H101*J92</f>
        <v>0</v>
      </c>
      <c r="K101" s="81" t="s">
        <v>123</v>
      </c>
      <c r="L101" s="60"/>
    </row>
    <row r="102" spans="1:13" customFormat="1" ht="15" customHeight="1">
      <c r="A102" s="8"/>
      <c r="B102" s="8"/>
      <c r="C102" s="58"/>
      <c r="D102" s="200"/>
      <c r="E102" s="9"/>
      <c r="F102" s="29" t="s">
        <v>124</v>
      </c>
      <c r="G102" s="21" t="s">
        <v>122</v>
      </c>
      <c r="H102" s="30">
        <v>0</v>
      </c>
      <c r="I102" s="173">
        <f>H102*I92</f>
        <v>0</v>
      </c>
      <c r="J102" s="173">
        <f>H102*J92</f>
        <v>0</v>
      </c>
      <c r="K102" s="81" t="s">
        <v>125</v>
      </c>
      <c r="L102" s="60"/>
    </row>
    <row r="103" spans="1:13" customFormat="1" ht="15" customHeight="1">
      <c r="A103" s="8"/>
      <c r="B103" s="8"/>
      <c r="C103" s="58"/>
      <c r="D103" s="200"/>
      <c r="E103" s="9"/>
      <c r="F103" s="29" t="s">
        <v>126</v>
      </c>
      <c r="G103" s="21" t="s">
        <v>122</v>
      </c>
      <c r="H103" s="30">
        <v>0</v>
      </c>
      <c r="I103" s="173" t="e">
        <f>H103*(SUM(I99:I102)+I96)</f>
        <v>#DIV/0!</v>
      </c>
      <c r="J103" s="173" t="e">
        <f>H103*(SUM(J99:J102)+J96)</f>
        <v>#DIV/0!</v>
      </c>
      <c r="K103" s="84" t="s">
        <v>127</v>
      </c>
      <c r="L103" s="60"/>
    </row>
    <row r="104" spans="1:13" customFormat="1" ht="15" customHeight="1">
      <c r="A104" s="8"/>
      <c r="B104" s="8"/>
      <c r="C104" s="58"/>
      <c r="D104" s="200"/>
      <c r="E104" s="9"/>
      <c r="F104" s="23" t="s">
        <v>96</v>
      </c>
      <c r="G104" s="23"/>
      <c r="H104" s="30"/>
      <c r="I104" s="24">
        <v>0</v>
      </c>
      <c r="J104" s="24">
        <f>I104</f>
        <v>0</v>
      </c>
      <c r="K104" s="82"/>
      <c r="L104" s="80"/>
    </row>
    <row r="105" spans="1:13" customFormat="1" ht="15" customHeight="1">
      <c r="A105" s="8"/>
      <c r="B105" s="8"/>
      <c r="C105" s="58"/>
      <c r="D105" s="200"/>
      <c r="E105" s="54"/>
      <c r="F105" s="32" t="s">
        <v>128</v>
      </c>
      <c r="G105" s="37"/>
      <c r="H105" s="36"/>
      <c r="I105" s="178" t="e">
        <f>SUM(I99:I104)</f>
        <v>#DIV/0!</v>
      </c>
      <c r="J105" s="178" t="e">
        <f>SUM(J99:J104)</f>
        <v>#DIV/0!</v>
      </c>
      <c r="K105" s="81"/>
      <c r="L105" s="60"/>
    </row>
    <row r="106" spans="1:13" customFormat="1" ht="15" customHeight="1">
      <c r="A106" s="8"/>
      <c r="B106" s="8"/>
      <c r="C106" s="9"/>
      <c r="D106" s="65"/>
      <c r="E106" s="54"/>
      <c r="F106" s="34"/>
      <c r="G106" s="37"/>
      <c r="H106" s="64"/>
      <c r="I106" s="57"/>
      <c r="J106" s="57"/>
      <c r="K106" s="17"/>
    </row>
    <row r="107" spans="1:13" customFormat="1" ht="15" customHeight="1">
      <c r="A107" s="8"/>
      <c r="B107" s="8"/>
      <c r="C107" s="58"/>
      <c r="D107" s="200" t="s">
        <v>145</v>
      </c>
      <c r="E107" s="9"/>
      <c r="F107" s="46" t="s">
        <v>130</v>
      </c>
      <c r="G107" s="47"/>
      <c r="H107" s="47"/>
      <c r="I107" s="48"/>
      <c r="J107" s="48"/>
      <c r="K107" s="83"/>
      <c r="L107" s="79"/>
    </row>
    <row r="108" spans="1:13" customFormat="1" ht="15" customHeight="1">
      <c r="A108" s="8"/>
      <c r="B108" s="8"/>
      <c r="C108" s="58"/>
      <c r="D108" s="200"/>
      <c r="E108" s="9"/>
      <c r="F108" s="21" t="s">
        <v>131</v>
      </c>
      <c r="G108" s="21" t="s">
        <v>122</v>
      </c>
      <c r="H108" s="30">
        <v>0</v>
      </c>
      <c r="I108" s="173" t="e">
        <f>H108*(I96+I105)</f>
        <v>#DIV/0!</v>
      </c>
      <c r="J108" s="173" t="e">
        <f>H108*(J96+J105)</f>
        <v>#DIV/0!</v>
      </c>
      <c r="K108" s="84" t="s">
        <v>132</v>
      </c>
      <c r="L108" s="60"/>
    </row>
    <row r="109" spans="1:13" customFormat="1" ht="15" customHeight="1">
      <c r="A109" s="8"/>
      <c r="B109" s="8"/>
      <c r="C109" s="58"/>
      <c r="D109" s="200"/>
      <c r="E109" s="9"/>
      <c r="F109" s="29" t="s">
        <v>133</v>
      </c>
      <c r="G109" s="21" t="s">
        <v>122</v>
      </c>
      <c r="H109" s="30">
        <v>0</v>
      </c>
      <c r="I109" s="173" t="e">
        <f>H109*(I96+I105)</f>
        <v>#DIV/0!</v>
      </c>
      <c r="J109" s="173" t="e">
        <f>H109*(J96+J105)</f>
        <v>#DIV/0!</v>
      </c>
      <c r="K109" s="84" t="s">
        <v>134</v>
      </c>
      <c r="L109" s="60"/>
    </row>
    <row r="110" spans="1:13" customFormat="1" ht="15" customHeight="1">
      <c r="A110" s="8"/>
      <c r="B110" s="8"/>
      <c r="C110" s="58"/>
      <c r="D110" s="200"/>
      <c r="E110" s="9"/>
      <c r="F110" s="23" t="s">
        <v>96</v>
      </c>
      <c r="G110" s="23"/>
      <c r="H110" s="30"/>
      <c r="I110" s="24">
        <v>0</v>
      </c>
      <c r="J110" s="24">
        <f>I110</f>
        <v>0</v>
      </c>
      <c r="K110" s="82"/>
      <c r="L110" s="80"/>
    </row>
    <row r="111" spans="1:13" customFormat="1" ht="15" customHeight="1">
      <c r="A111" s="8"/>
      <c r="B111" s="8"/>
      <c r="C111" s="58"/>
      <c r="D111" s="200"/>
      <c r="E111" s="54"/>
      <c r="F111" s="32" t="s">
        <v>135</v>
      </c>
      <c r="G111" s="37"/>
      <c r="H111" s="36"/>
      <c r="I111" s="178" t="e">
        <f>SUM(I108:I110)</f>
        <v>#DIV/0!</v>
      </c>
      <c r="J111" s="178" t="e">
        <f>SUM(J108:J110)</f>
        <v>#DIV/0!</v>
      </c>
      <c r="K111" s="81"/>
      <c r="L111" s="60"/>
    </row>
    <row r="112" spans="1:13" customFormat="1" ht="15" customHeight="1">
      <c r="A112" s="8"/>
      <c r="B112" s="8"/>
      <c r="C112" s="58"/>
      <c r="D112" s="9"/>
      <c r="E112" s="9"/>
      <c r="F112" s="34"/>
      <c r="G112" s="34"/>
      <c r="H112" s="34"/>
      <c r="I112" s="35"/>
      <c r="J112" s="35"/>
      <c r="K112" s="17"/>
    </row>
    <row r="113" spans="1:13" customFormat="1" ht="15" customHeight="1">
      <c r="A113" s="8"/>
      <c r="B113" s="8"/>
      <c r="C113" s="58"/>
      <c r="D113" s="200" t="s">
        <v>146</v>
      </c>
      <c r="E113" s="9"/>
      <c r="F113" s="46" t="s">
        <v>137</v>
      </c>
      <c r="G113" s="47"/>
      <c r="H113" s="47"/>
      <c r="I113" s="48"/>
      <c r="J113" s="48"/>
      <c r="K113" s="83"/>
      <c r="L113" s="79"/>
    </row>
    <row r="114" spans="1:13" customFormat="1" ht="15" customHeight="1">
      <c r="A114" s="8"/>
      <c r="B114" s="8"/>
      <c r="C114" s="58"/>
      <c r="D114" s="200"/>
      <c r="E114" s="9"/>
      <c r="F114" s="21" t="s">
        <v>138</v>
      </c>
      <c r="G114" s="21" t="s">
        <v>139</v>
      </c>
      <c r="H114" s="173">
        <f>IF(G23&gt;0,0.3,0)</f>
        <v>0</v>
      </c>
      <c r="I114" s="173">
        <f>IF(G23&gt;0,((G14+G15+G16)*G30*H114)*((H19/(H18+H19))/H19),0)</f>
        <v>0</v>
      </c>
      <c r="J114" s="173">
        <f>IF(G23&gt;0,((G14+G15+G16)*G30*H114)*((H19/(H18+H19))/H19),0)</f>
        <v>0</v>
      </c>
      <c r="K114" s="85" t="s">
        <v>140</v>
      </c>
      <c r="L114" s="60"/>
    </row>
    <row r="115" spans="1:13" customFormat="1" ht="15" customHeight="1">
      <c r="A115" s="8"/>
      <c r="B115" s="8"/>
      <c r="C115" s="58"/>
      <c r="D115" s="200"/>
      <c r="E115" s="9"/>
      <c r="F115" s="23" t="s">
        <v>96</v>
      </c>
      <c r="G115" s="23"/>
      <c r="H115" s="30"/>
      <c r="I115" s="24">
        <v>0</v>
      </c>
      <c r="J115" s="24">
        <f>(J54+J63)*H115</f>
        <v>0</v>
      </c>
      <c r="K115" s="82"/>
      <c r="L115" s="80"/>
    </row>
    <row r="116" spans="1:13" customFormat="1" ht="15" customHeight="1">
      <c r="A116" s="8"/>
      <c r="B116" s="8"/>
      <c r="C116" s="58"/>
      <c r="D116" s="200"/>
      <c r="E116" s="9"/>
      <c r="F116" s="32" t="s">
        <v>135</v>
      </c>
      <c r="G116" s="37"/>
      <c r="H116" s="36"/>
      <c r="I116" s="178">
        <f>SUM(I114:I115)</f>
        <v>0</v>
      </c>
      <c r="J116" s="178">
        <f>SUM(J114:J115)</f>
        <v>0</v>
      </c>
      <c r="K116" s="81"/>
      <c r="L116" s="60"/>
    </row>
    <row r="117" spans="1:13" customFormat="1" ht="15" customHeight="1">
      <c r="A117" s="8"/>
      <c r="B117" s="8"/>
      <c r="C117" s="58"/>
      <c r="D117" s="9"/>
      <c r="E117" s="9"/>
      <c r="F117" s="34"/>
      <c r="G117" s="34"/>
      <c r="H117" s="34"/>
      <c r="I117" s="35"/>
      <c r="J117" s="35"/>
      <c r="L117" s="17"/>
    </row>
    <row r="118" spans="1:13" customFormat="1" ht="15" customHeight="1">
      <c r="A118" s="8"/>
      <c r="B118" s="8"/>
      <c r="C118" s="58"/>
      <c r="D118" s="9"/>
      <c r="E118" s="9"/>
      <c r="F118" s="117" t="s">
        <v>147</v>
      </c>
      <c r="G118" s="121"/>
      <c r="H118" s="122"/>
      <c r="I118" s="123" t="e">
        <f>I116+I105+I111+I96</f>
        <v>#DIV/0!</v>
      </c>
      <c r="J118" s="123" t="e">
        <f>J116+J105+J111+J96</f>
        <v>#DIV/0!</v>
      </c>
      <c r="K118" s="130"/>
      <c r="L118" s="131"/>
    </row>
    <row r="119" spans="1:13" customFormat="1" ht="15" customHeight="1">
      <c r="A119" s="8"/>
      <c r="B119" s="8"/>
      <c r="C119" s="58"/>
      <c r="D119" s="9"/>
      <c r="E119" s="9"/>
      <c r="F119" s="16"/>
      <c r="G119" s="16"/>
      <c r="H119" s="16"/>
      <c r="I119" s="16"/>
      <c r="J119" s="19"/>
      <c r="L119" s="131"/>
    </row>
    <row r="120" spans="1:13" customFormat="1" ht="15" customHeight="1">
      <c r="A120" s="8"/>
      <c r="B120" s="8"/>
      <c r="C120" s="58"/>
      <c r="D120" s="9"/>
      <c r="E120" s="9"/>
      <c r="F120" s="16"/>
      <c r="G120" s="16"/>
      <c r="H120" s="16"/>
      <c r="I120" s="19"/>
      <c r="J120" s="19"/>
      <c r="K120" s="19"/>
      <c r="L120" s="19"/>
      <c r="M120" s="19"/>
    </row>
    <row r="121" spans="1:13" customFormat="1" ht="15" customHeight="1">
      <c r="A121" s="8"/>
      <c r="B121" s="8"/>
      <c r="C121" s="58"/>
      <c r="D121" s="9"/>
      <c r="E121" s="9"/>
      <c r="F121" s="59" t="s">
        <v>148</v>
      </c>
      <c r="G121" s="39"/>
      <c r="H121" s="39"/>
      <c r="I121" s="39"/>
      <c r="J121" s="40"/>
      <c r="K121" s="40"/>
      <c r="L121" s="40"/>
    </row>
    <row r="122" spans="1:13" customFormat="1" ht="15" customHeight="1">
      <c r="A122" s="8"/>
      <c r="B122" s="8"/>
      <c r="C122" s="58"/>
      <c r="D122" s="201" t="s">
        <v>149</v>
      </c>
      <c r="E122" s="9"/>
      <c r="F122" s="46" t="s">
        <v>150</v>
      </c>
      <c r="G122" s="47"/>
      <c r="H122" s="47"/>
      <c r="I122" s="48"/>
      <c r="J122" s="48"/>
      <c r="K122" s="204"/>
      <c r="L122" s="205"/>
    </row>
    <row r="123" spans="1:13" customFormat="1" ht="15" customHeight="1">
      <c r="A123" s="8"/>
      <c r="B123" s="8"/>
      <c r="C123" s="58"/>
      <c r="D123" s="202"/>
      <c r="E123" s="9"/>
      <c r="F123" s="21" t="s">
        <v>151</v>
      </c>
      <c r="G123" s="21" t="s">
        <v>54</v>
      </c>
      <c r="H123" s="168">
        <f>G26</f>
        <v>0</v>
      </c>
      <c r="I123" s="173" t="e">
        <f>(((G22*G21)*H123)/((H18+H19)*G13))*(H18/(H18+H19))</f>
        <v>#DIV/0!</v>
      </c>
      <c r="J123" s="173" t="e">
        <f>(((G24*G21)*H123)/((H18+H19)*G13))*(H18/(H18+H19))</f>
        <v>#DIV/0!</v>
      </c>
      <c r="K123" s="88" t="s">
        <v>152</v>
      </c>
      <c r="L123" s="33"/>
    </row>
    <row r="124" spans="1:13" customFormat="1" ht="15" customHeight="1">
      <c r="A124" s="8"/>
      <c r="B124" s="8"/>
      <c r="C124" s="58"/>
      <c r="D124" s="202"/>
      <c r="E124" s="9"/>
      <c r="F124" s="21" t="s">
        <v>153</v>
      </c>
      <c r="G124" s="21" t="s">
        <v>154</v>
      </c>
      <c r="H124" s="30">
        <v>0</v>
      </c>
      <c r="I124" s="173" t="e">
        <f>((I65+I74+I96+I105)*H124)*(H18/(H18+H19))</f>
        <v>#DIV/0!</v>
      </c>
      <c r="J124" s="173" t="e">
        <f>((J65+J74+J96+J105)*H124)*(H18/(H18+H19))</f>
        <v>#DIV/0!</v>
      </c>
      <c r="K124" s="88" t="s">
        <v>155</v>
      </c>
      <c r="L124" s="33"/>
    </row>
    <row r="125" spans="1:13" customFormat="1" ht="15" customHeight="1">
      <c r="A125" s="8"/>
      <c r="B125" s="8"/>
      <c r="C125" s="58"/>
      <c r="D125" s="202"/>
      <c r="E125" s="9"/>
      <c r="F125" s="21" t="s">
        <v>156</v>
      </c>
      <c r="G125" s="21" t="s">
        <v>157</v>
      </c>
      <c r="H125" s="30">
        <v>0</v>
      </c>
      <c r="I125" s="173" t="e">
        <f>((I65+I74+I96+I105)*H125)*(H18/(H18+H19))</f>
        <v>#DIV/0!</v>
      </c>
      <c r="J125" s="173" t="e">
        <f>((J65+J74+J96+J105)*H125)*(H18/(H18+H19))</f>
        <v>#DIV/0!</v>
      </c>
      <c r="K125" s="88" t="s">
        <v>155</v>
      </c>
      <c r="L125" s="33"/>
    </row>
    <row r="126" spans="1:13" customFormat="1" ht="15" customHeight="1">
      <c r="A126" s="8"/>
      <c r="B126" s="8"/>
      <c r="C126" s="58"/>
      <c r="D126" s="202"/>
      <c r="E126" s="9"/>
      <c r="F126" s="23" t="s">
        <v>96</v>
      </c>
      <c r="G126" s="23"/>
      <c r="H126" s="30"/>
      <c r="I126" s="24">
        <v>0</v>
      </c>
      <c r="J126" s="24">
        <f>I126</f>
        <v>0</v>
      </c>
      <c r="K126" s="82"/>
      <c r="L126" s="92"/>
    </row>
    <row r="127" spans="1:13" customFormat="1" ht="15" customHeight="1">
      <c r="A127" s="8"/>
      <c r="B127" s="8"/>
      <c r="C127" s="58"/>
      <c r="D127" s="70"/>
      <c r="E127" s="9"/>
      <c r="F127" s="68"/>
      <c r="G127" s="68"/>
      <c r="H127" s="90"/>
      <c r="I127" s="180" t="e">
        <f>SUM(I123:I126)</f>
        <v>#DIV/0!</v>
      </c>
      <c r="J127" s="180" t="e">
        <f>SUM(J123:J126)</f>
        <v>#DIV/0!</v>
      </c>
      <c r="K127" s="89"/>
      <c r="L127" s="91"/>
    </row>
    <row r="128" spans="1:13" customFormat="1" ht="15" customHeight="1">
      <c r="A128" s="8"/>
      <c r="B128" s="8"/>
      <c r="C128" s="58"/>
      <c r="D128" s="9"/>
      <c r="E128" s="9"/>
      <c r="F128" s="16"/>
      <c r="G128" s="16"/>
      <c r="H128" s="16"/>
      <c r="I128" s="16"/>
      <c r="J128" s="19"/>
      <c r="K128" s="19"/>
      <c r="L128" s="17"/>
    </row>
    <row r="129" spans="1:15" customFormat="1" ht="15" customHeight="1">
      <c r="A129" s="8"/>
      <c r="B129" s="8"/>
      <c r="C129" s="58"/>
      <c r="D129" s="200" t="s">
        <v>158</v>
      </c>
      <c r="E129" s="9"/>
      <c r="F129" s="46" t="s">
        <v>159</v>
      </c>
      <c r="G129" s="47"/>
      <c r="H129" s="95"/>
      <c r="I129" s="50"/>
      <c r="J129" s="96"/>
      <c r="K129" s="205" t="s">
        <v>160</v>
      </c>
      <c r="L129" s="205"/>
    </row>
    <row r="130" spans="1:15" customFormat="1" ht="15" customHeight="1">
      <c r="A130" s="8"/>
      <c r="B130" s="8"/>
      <c r="C130" s="58"/>
      <c r="D130" s="200"/>
      <c r="E130" s="9"/>
      <c r="F130" s="21" t="s">
        <v>161</v>
      </c>
      <c r="G130" s="21"/>
      <c r="H130" s="60"/>
      <c r="I130" s="173" t="e">
        <f>(I37/($G$13*$H$18))*($H$18/($H$18+$H$19))</f>
        <v>#DIV/0!</v>
      </c>
      <c r="J130" s="173" t="e">
        <f>I130</f>
        <v>#DIV/0!</v>
      </c>
      <c r="K130" s="97" t="s">
        <v>162</v>
      </c>
      <c r="L130" s="25"/>
      <c r="M130" s="130"/>
    </row>
    <row r="131" spans="1:15" customFormat="1" ht="15" customHeight="1">
      <c r="A131" s="8"/>
      <c r="B131" s="8"/>
      <c r="C131" s="58"/>
      <c r="D131" s="200"/>
      <c r="E131" s="9"/>
      <c r="F131" s="21" t="s">
        <v>163</v>
      </c>
      <c r="G131" s="21"/>
      <c r="H131" s="60"/>
      <c r="I131" s="173" t="e">
        <f>(I38/($G$13*$H$18))*($H$18/($H$18+$H$19))</f>
        <v>#DIV/0!</v>
      </c>
      <c r="J131" s="173" t="e">
        <f>I131</f>
        <v>#DIV/0!</v>
      </c>
      <c r="K131" s="97" t="s">
        <v>162</v>
      </c>
      <c r="L131" s="25"/>
    </row>
    <row r="132" spans="1:15" customFormat="1" ht="15" customHeight="1">
      <c r="A132" s="8"/>
      <c r="B132" s="8"/>
      <c r="C132" s="58"/>
      <c r="D132" s="200"/>
      <c r="E132" s="9"/>
      <c r="F132" s="94" t="s">
        <v>77</v>
      </c>
      <c r="G132" s="21" t="s">
        <v>164</v>
      </c>
      <c r="H132" s="60"/>
      <c r="I132" s="173" t="e">
        <f>(I39/($G$13*$H$18))*($H$18/($H$18+$H$19))</f>
        <v>#DIV/0!</v>
      </c>
      <c r="J132" s="173" t="e">
        <f t="shared" ref="J132:J133" si="0">I132</f>
        <v>#DIV/0!</v>
      </c>
      <c r="K132" s="97" t="s">
        <v>165</v>
      </c>
      <c r="L132" s="92"/>
    </row>
    <row r="133" spans="1:15" customFormat="1" ht="17.25" customHeight="1">
      <c r="A133" s="8"/>
      <c r="B133" s="8"/>
      <c r="C133" s="58"/>
      <c r="D133" s="200"/>
      <c r="E133" s="9"/>
      <c r="F133" s="94" t="s">
        <v>166</v>
      </c>
      <c r="G133" s="21" t="s">
        <v>167</v>
      </c>
      <c r="H133" s="60"/>
      <c r="I133" s="173" t="e">
        <f>(I40/($G$13*$H$18))*($H$18/($H$18+$H$19))</f>
        <v>#DIV/0!</v>
      </c>
      <c r="J133" s="173" t="e">
        <f t="shared" si="0"/>
        <v>#DIV/0!</v>
      </c>
      <c r="K133" s="97" t="s">
        <v>168</v>
      </c>
      <c r="L133" s="25"/>
    </row>
    <row r="134" spans="1:15" customFormat="1" ht="15" customHeight="1">
      <c r="A134" s="8"/>
      <c r="B134" s="8"/>
      <c r="C134" s="58"/>
      <c r="D134" s="200"/>
      <c r="E134" s="9"/>
      <c r="F134" s="21" t="s">
        <v>169</v>
      </c>
      <c r="G134" s="94"/>
      <c r="H134" s="24"/>
      <c r="I134" s="173" t="e">
        <f>1/G18</f>
        <v>#DIV/0!</v>
      </c>
      <c r="J134" s="173" t="e">
        <f>H134/G18</f>
        <v>#DIV/0!</v>
      </c>
      <c r="K134" s="61" t="s">
        <v>170</v>
      </c>
      <c r="L134" s="92"/>
    </row>
    <row r="135" spans="1:15" customFormat="1" ht="15" customHeight="1">
      <c r="A135" s="8"/>
      <c r="B135" s="8"/>
      <c r="C135" s="58"/>
      <c r="D135" s="200"/>
      <c r="E135" s="9"/>
      <c r="F135" s="21" t="s">
        <v>171</v>
      </c>
      <c r="G135" s="21" t="s">
        <v>172</v>
      </c>
      <c r="H135" s="173" t="e">
        <f>G31/G25/G13</f>
        <v>#DIV/0!</v>
      </c>
      <c r="I135" s="173" t="e">
        <f>((H135*G25)*(H18/(H18+H19)))/H18</f>
        <v>#DIV/0!</v>
      </c>
      <c r="J135" s="173" t="e">
        <f>((H135*G25)*(H18/(H18+H19)))/H18</f>
        <v>#DIV/0!</v>
      </c>
      <c r="K135" s="116" t="s">
        <v>155</v>
      </c>
      <c r="L135" s="92"/>
    </row>
    <row r="136" spans="1:15" customFormat="1" ht="15" customHeight="1">
      <c r="A136" s="8"/>
      <c r="B136" s="8"/>
      <c r="C136" s="58"/>
      <c r="D136" s="200"/>
      <c r="E136" s="9"/>
      <c r="F136" s="21" t="s">
        <v>173</v>
      </c>
      <c r="G136" s="21" t="s">
        <v>174</v>
      </c>
      <c r="H136" s="181">
        <f>G29*60</f>
        <v>0</v>
      </c>
      <c r="I136" s="173" t="e">
        <f>(((90/60)*J39*G25)*(H18/(H18+H19)))/(H18*G13)</f>
        <v>#DIV/0!</v>
      </c>
      <c r="J136" s="173" t="e">
        <f>(((H136/60)*J39*G25)*(H18/(H18+H19)))/(H18*G13)</f>
        <v>#DIV/0!</v>
      </c>
      <c r="K136" s="116" t="s">
        <v>175</v>
      </c>
      <c r="L136" s="92"/>
    </row>
    <row r="137" spans="1:15" customFormat="1" ht="15" customHeight="1">
      <c r="A137" s="8"/>
      <c r="B137" s="8"/>
      <c r="C137" s="58"/>
      <c r="D137" s="70"/>
      <c r="E137" s="9"/>
      <c r="F137" s="68"/>
      <c r="G137" s="68"/>
      <c r="H137" s="67"/>
      <c r="I137" s="178" t="e">
        <f>SUM(I130:I136)</f>
        <v>#DIV/0!</v>
      </c>
      <c r="J137" s="178" t="e">
        <f>SUM(J130:J136)</f>
        <v>#DIV/0!</v>
      </c>
      <c r="L137" s="17"/>
    </row>
    <row r="138" spans="1:15" customFormat="1" ht="15" customHeight="1">
      <c r="A138" s="8"/>
      <c r="B138" s="8"/>
      <c r="C138" s="58"/>
      <c r="D138" s="9"/>
      <c r="E138" s="9"/>
      <c r="F138" s="16"/>
      <c r="G138" s="16"/>
      <c r="H138" s="16"/>
      <c r="I138" s="16"/>
      <c r="J138" s="19"/>
      <c r="K138" s="19"/>
      <c r="L138" s="17"/>
    </row>
    <row r="139" spans="1:15" customFormat="1" ht="15" customHeight="1">
      <c r="A139" s="8"/>
      <c r="B139" s="8"/>
      <c r="C139" s="58"/>
      <c r="D139" s="200" t="s">
        <v>176</v>
      </c>
      <c r="E139" s="9"/>
      <c r="F139" s="46" t="s">
        <v>177</v>
      </c>
      <c r="G139" s="47"/>
      <c r="H139" s="49"/>
      <c r="I139" s="50"/>
      <c r="J139" s="96"/>
      <c r="K139" s="205" t="s">
        <v>160</v>
      </c>
      <c r="L139" s="205"/>
    </row>
    <row r="140" spans="1:15" customFormat="1" ht="15" customHeight="1">
      <c r="A140" s="8"/>
      <c r="B140" s="8"/>
      <c r="C140" s="58"/>
      <c r="D140" s="200"/>
      <c r="E140" s="9"/>
      <c r="F140" s="94" t="str">
        <f t="shared" ref="F140:F147" si="1">F45</f>
        <v>Premises, utilities and services</v>
      </c>
      <c r="G140" s="86"/>
      <c r="H140" s="101"/>
      <c r="I140" s="173" t="e">
        <f>(I45/($H$18*$G$13))*($H$18/($H$18+$H$19))</f>
        <v>#DIV/0!</v>
      </c>
      <c r="J140" s="173" t="e">
        <f>I140</f>
        <v>#DIV/0!</v>
      </c>
      <c r="K140" s="97" t="s">
        <v>178</v>
      </c>
      <c r="L140" s="25"/>
      <c r="N140" s="130"/>
      <c r="O140" s="130"/>
    </row>
    <row r="141" spans="1:15" customFormat="1" ht="15" customHeight="1">
      <c r="A141" s="8"/>
      <c r="B141" s="8"/>
      <c r="C141" s="58"/>
      <c r="D141" s="200"/>
      <c r="E141" s="9"/>
      <c r="F141" s="94" t="str">
        <f t="shared" si="1"/>
        <v>Consumables and stationary</v>
      </c>
      <c r="G141" s="86"/>
      <c r="H141" s="101"/>
      <c r="I141" s="173" t="e">
        <f t="shared" ref="I141:I146" si="2">(I46/($H$18*$G$13))*($H$18/($H$18+$H$19))</f>
        <v>#DIV/0!</v>
      </c>
      <c r="J141" s="173" t="e">
        <f t="shared" ref="J141:J147" si="3">I141</f>
        <v>#DIV/0!</v>
      </c>
      <c r="K141" s="97" t="s">
        <v>178</v>
      </c>
      <c r="L141" s="25"/>
      <c r="N141" s="130"/>
      <c r="O141" s="130"/>
    </row>
    <row r="142" spans="1:15" customFormat="1" ht="15" customHeight="1">
      <c r="A142" s="8"/>
      <c r="B142" s="8"/>
      <c r="C142" s="58"/>
      <c r="D142" s="200"/>
      <c r="E142" s="9"/>
      <c r="F142" s="94" t="str">
        <f t="shared" si="1"/>
        <v>Professional Costs</v>
      </c>
      <c r="G142" s="86"/>
      <c r="H142" s="101"/>
      <c r="I142" s="173" t="e">
        <f t="shared" si="2"/>
        <v>#DIV/0!</v>
      </c>
      <c r="J142" s="173" t="e">
        <f t="shared" si="3"/>
        <v>#DIV/0!</v>
      </c>
      <c r="K142" s="97" t="s">
        <v>178</v>
      </c>
      <c r="L142" s="25"/>
      <c r="N142" s="130"/>
      <c r="O142" s="130"/>
    </row>
    <row r="143" spans="1:15" customFormat="1" ht="15" customHeight="1">
      <c r="A143" s="8"/>
      <c r="B143" s="8"/>
      <c r="C143" s="58"/>
      <c r="D143" s="200"/>
      <c r="E143" s="9"/>
      <c r="F143" s="94" t="str">
        <f t="shared" si="1"/>
        <v>Insurance</v>
      </c>
      <c r="G143" s="86"/>
      <c r="H143" s="101"/>
      <c r="I143" s="173" t="e">
        <f t="shared" si="2"/>
        <v>#DIV/0!</v>
      </c>
      <c r="J143" s="173" t="e">
        <f t="shared" si="3"/>
        <v>#DIV/0!</v>
      </c>
      <c r="K143" s="97" t="s">
        <v>178</v>
      </c>
      <c r="L143" s="92"/>
      <c r="N143" s="130"/>
      <c r="O143" s="130"/>
    </row>
    <row r="144" spans="1:15" customFormat="1" ht="15" customHeight="1">
      <c r="A144" s="8"/>
      <c r="B144" s="8"/>
      <c r="C144" s="58"/>
      <c r="D144" s="200"/>
      <c r="E144" s="9"/>
      <c r="F144" s="94" t="str">
        <f t="shared" si="1"/>
        <v>Marketing/customer experience (eg website)</v>
      </c>
      <c r="G144" s="86"/>
      <c r="H144" s="101"/>
      <c r="I144" s="173" t="e">
        <f t="shared" si="2"/>
        <v>#DIV/0!</v>
      </c>
      <c r="J144" s="173" t="e">
        <f t="shared" si="3"/>
        <v>#DIV/0!</v>
      </c>
      <c r="K144" s="97" t="s">
        <v>178</v>
      </c>
      <c r="L144" s="92"/>
      <c r="N144" s="130"/>
      <c r="O144" s="130"/>
    </row>
    <row r="145" spans="1:19" customFormat="1" ht="15" customHeight="1">
      <c r="A145" s="8"/>
      <c r="B145" s="8"/>
      <c r="C145" s="58"/>
      <c r="D145" s="200"/>
      <c r="E145" s="9"/>
      <c r="F145" s="94" t="str">
        <f t="shared" si="1"/>
        <v>Software Licensing</v>
      </c>
      <c r="G145" s="86"/>
      <c r="H145" s="101"/>
      <c r="I145" s="173" t="e">
        <f t="shared" si="2"/>
        <v>#DIV/0!</v>
      </c>
      <c r="J145" s="173" t="e">
        <f t="shared" si="3"/>
        <v>#DIV/0!</v>
      </c>
      <c r="K145" s="97" t="s">
        <v>178</v>
      </c>
      <c r="L145" s="92"/>
      <c r="N145" s="130"/>
      <c r="O145" s="130"/>
    </row>
    <row r="146" spans="1:19" customFormat="1" ht="15" customHeight="1">
      <c r="A146" s="8"/>
      <c r="B146" s="8"/>
      <c r="C146" s="58"/>
      <c r="D146" s="200"/>
      <c r="E146" s="9"/>
      <c r="F146" s="94" t="str">
        <f t="shared" si="1"/>
        <v>ECMS</v>
      </c>
      <c r="G146" s="86"/>
      <c r="H146" s="101"/>
      <c r="I146" s="173" t="e">
        <f t="shared" si="2"/>
        <v>#DIV/0!</v>
      </c>
      <c r="J146" s="173" t="e">
        <f t="shared" si="3"/>
        <v>#DIV/0!</v>
      </c>
      <c r="K146" s="97" t="s">
        <v>178</v>
      </c>
      <c r="L146" s="92"/>
      <c r="N146" s="130"/>
      <c r="O146" s="130"/>
    </row>
    <row r="147" spans="1:19" customFormat="1" ht="15" customHeight="1">
      <c r="A147" s="8"/>
      <c r="B147" s="8"/>
      <c r="C147" s="58"/>
      <c r="D147" s="200"/>
      <c r="E147" s="9"/>
      <c r="F147" s="98" t="str">
        <f t="shared" si="1"/>
        <v>&lt;other item&gt;</v>
      </c>
      <c r="G147" s="100"/>
      <c r="H147" s="103"/>
      <c r="I147" s="24">
        <v>0</v>
      </c>
      <c r="J147" s="24">
        <f t="shared" si="3"/>
        <v>0</v>
      </c>
      <c r="K147" s="61"/>
      <c r="L147" s="92"/>
    </row>
    <row r="148" spans="1:19" customFormat="1" ht="15" customHeight="1">
      <c r="A148" s="8"/>
      <c r="B148" s="8"/>
      <c r="C148" s="58"/>
      <c r="D148" s="93"/>
      <c r="E148" s="9"/>
      <c r="F148" s="16"/>
      <c r="G148" s="16"/>
      <c r="H148" s="16"/>
      <c r="I148" s="178" t="e">
        <f>SUM(I140:I147)</f>
        <v>#DIV/0!</v>
      </c>
      <c r="J148" s="178" t="e">
        <f>SUM(J140:J147)</f>
        <v>#DIV/0!</v>
      </c>
      <c r="K148" s="16"/>
    </row>
    <row r="149" spans="1:19" customFormat="1" ht="15" customHeight="1">
      <c r="A149" s="8"/>
      <c r="B149" s="8"/>
      <c r="C149" s="58"/>
      <c r="D149" s="9"/>
      <c r="E149" s="9"/>
      <c r="F149" s="55" t="s">
        <v>179</v>
      </c>
      <c r="G149" s="55" t="s">
        <v>180</v>
      </c>
      <c r="H149" s="56" t="s">
        <v>181</v>
      </c>
      <c r="I149" s="56"/>
      <c r="J149" s="55" t="s">
        <v>179</v>
      </c>
      <c r="K149" s="55" t="s">
        <v>180</v>
      </c>
      <c r="L149" s="17"/>
    </row>
    <row r="150" spans="1:19" s="63" customFormat="1" ht="15" customHeight="1">
      <c r="A150" s="110"/>
      <c r="B150" s="110"/>
      <c r="C150" s="111"/>
      <c r="D150" s="112"/>
      <c r="E150" s="112"/>
      <c r="F150" s="124" t="s">
        <v>182</v>
      </c>
      <c r="G150" s="125"/>
      <c r="H150" s="126"/>
      <c r="I150" s="123" t="e">
        <f>I127+I137+I148</f>
        <v>#DIV/0!</v>
      </c>
      <c r="J150" s="123" t="e">
        <f>J127+J137+J148</f>
        <v>#DIV/0!</v>
      </c>
      <c r="K150" s="113"/>
      <c r="L150" s="114"/>
      <c r="N150"/>
    </row>
    <row r="151" spans="1:19" s="63" customFormat="1" ht="15" customHeight="1">
      <c r="A151" s="110"/>
      <c r="B151" s="110"/>
      <c r="C151" s="111"/>
      <c r="D151" s="112"/>
      <c r="E151" s="112"/>
      <c r="F151" s="20"/>
      <c r="G151" s="113"/>
      <c r="H151" s="114"/>
      <c r="I151" s="26"/>
      <c r="J151" s="26"/>
      <c r="K151" s="113"/>
      <c r="L151" s="114"/>
      <c r="N151"/>
    </row>
    <row r="152" spans="1:19" s="63" customFormat="1" ht="15" customHeight="1">
      <c r="A152" s="110"/>
      <c r="B152" s="110"/>
      <c r="C152" s="111"/>
      <c r="D152" s="112"/>
      <c r="E152" s="112"/>
      <c r="F152" s="20"/>
      <c r="G152" s="113"/>
      <c r="H152" s="114"/>
      <c r="I152" s="114"/>
      <c r="J152" s="26"/>
      <c r="K152" s="113"/>
      <c r="L152" s="114"/>
      <c r="N152"/>
    </row>
    <row r="153" spans="1:19" customFormat="1" ht="15" customHeight="1">
      <c r="A153" s="8"/>
      <c r="B153" s="8"/>
      <c r="C153" s="58"/>
      <c r="D153" s="9"/>
      <c r="E153" s="9"/>
      <c r="F153" s="59" t="s">
        <v>183</v>
      </c>
      <c r="G153" s="39"/>
      <c r="H153" s="39"/>
      <c r="I153" s="39"/>
      <c r="J153" s="40"/>
      <c r="K153" s="40"/>
      <c r="L153" s="40"/>
      <c r="O153" s="63"/>
      <c r="P153" s="63"/>
      <c r="Q153" s="63"/>
      <c r="R153" s="63"/>
      <c r="S153" s="63"/>
    </row>
    <row r="154" spans="1:19" customFormat="1" ht="15" customHeight="1">
      <c r="A154" s="8"/>
      <c r="B154" s="8"/>
      <c r="C154" s="58"/>
      <c r="D154" s="201" t="s">
        <v>184</v>
      </c>
      <c r="E154" s="9"/>
      <c r="F154" s="46" t="s">
        <v>150</v>
      </c>
      <c r="G154" s="47"/>
      <c r="H154" s="47"/>
      <c r="I154" s="48"/>
      <c r="J154" s="48"/>
      <c r="K154" s="204"/>
      <c r="L154" s="205"/>
      <c r="O154" s="63"/>
      <c r="P154" s="63"/>
      <c r="Q154" s="63"/>
      <c r="R154" s="63"/>
      <c r="S154" s="63"/>
    </row>
    <row r="155" spans="1:19" customFormat="1" ht="15" customHeight="1">
      <c r="A155" s="8"/>
      <c r="B155" s="8"/>
      <c r="C155" s="58"/>
      <c r="D155" s="202"/>
      <c r="E155" s="9"/>
      <c r="F155" s="21" t="s">
        <v>151</v>
      </c>
      <c r="G155" s="21" t="s">
        <v>54</v>
      </c>
      <c r="H155" s="168">
        <f>G26</f>
        <v>0</v>
      </c>
      <c r="I155" s="173" t="e">
        <f>(((G23*G21)*H155)/((H18+H19)*G13))*(H19/(H18+H19))</f>
        <v>#DIV/0!</v>
      </c>
      <c r="J155" s="173" t="e">
        <f>(((G24*G21)*H155)/(G12*G13))*(H19/(H18+H19))</f>
        <v>#DIV/0!</v>
      </c>
      <c r="K155" s="88" t="s">
        <v>152</v>
      </c>
      <c r="L155" s="33"/>
      <c r="O155" s="63"/>
      <c r="P155" s="63"/>
      <c r="Q155" s="63"/>
      <c r="R155" s="63"/>
      <c r="S155" s="63"/>
    </row>
    <row r="156" spans="1:19" customFormat="1" ht="15" customHeight="1">
      <c r="A156" s="8"/>
      <c r="B156" s="8"/>
      <c r="C156" s="58"/>
      <c r="D156" s="202"/>
      <c r="E156" s="9"/>
      <c r="F156" s="21" t="s">
        <v>153</v>
      </c>
      <c r="G156" s="21" t="s">
        <v>154</v>
      </c>
      <c r="H156" s="179">
        <f>H124</f>
        <v>0</v>
      </c>
      <c r="I156" s="173" t="e">
        <f>((I65+I74+I96+I105)*H156)*(H19/(H18+H19))</f>
        <v>#DIV/0!</v>
      </c>
      <c r="J156" s="173" t="e">
        <f>((J65+J74+J96+J105)*H156)*(H19/(H18+H19))</f>
        <v>#DIV/0!</v>
      </c>
      <c r="K156" s="88" t="s">
        <v>155</v>
      </c>
      <c r="L156" s="33"/>
      <c r="O156" s="63"/>
      <c r="P156" s="63"/>
      <c r="Q156" s="63"/>
      <c r="R156" s="63"/>
      <c r="S156" s="63"/>
    </row>
    <row r="157" spans="1:19" customFormat="1" ht="15" customHeight="1">
      <c r="A157" s="8"/>
      <c r="B157" s="8"/>
      <c r="C157" s="58"/>
      <c r="D157" s="202"/>
      <c r="E157" s="9"/>
      <c r="F157" s="21" t="s">
        <v>156</v>
      </c>
      <c r="G157" s="21" t="s">
        <v>157</v>
      </c>
      <c r="H157" s="179">
        <f>H125</f>
        <v>0</v>
      </c>
      <c r="I157" s="173" t="e">
        <f>((I65+I74+I96+I105)*H157)*(H19/(H18+H19))</f>
        <v>#DIV/0!</v>
      </c>
      <c r="J157" s="173" t="e">
        <f>((J65+J74+J96+J105)*H157)*(H19/(H18+H19))</f>
        <v>#DIV/0!</v>
      </c>
      <c r="K157" s="88" t="s">
        <v>155</v>
      </c>
      <c r="L157" s="33"/>
      <c r="O157" s="63"/>
      <c r="P157" s="63"/>
      <c r="Q157" s="63"/>
      <c r="R157" s="63"/>
      <c r="S157" s="63"/>
    </row>
    <row r="158" spans="1:19" customFormat="1" ht="15" customHeight="1">
      <c r="A158" s="8"/>
      <c r="B158" s="8"/>
      <c r="C158" s="58"/>
      <c r="D158" s="202"/>
      <c r="E158" s="9"/>
      <c r="F158" s="23" t="s">
        <v>96</v>
      </c>
      <c r="G158" s="23"/>
      <c r="H158" s="30"/>
      <c r="I158" s="24">
        <v>0</v>
      </c>
      <c r="J158" s="24">
        <f>I158</f>
        <v>0</v>
      </c>
      <c r="K158" s="82"/>
      <c r="L158" s="92"/>
      <c r="O158" s="63"/>
      <c r="P158" s="63"/>
      <c r="Q158" s="63"/>
      <c r="R158" s="63"/>
      <c r="S158" s="63"/>
    </row>
    <row r="159" spans="1:19" customFormat="1" ht="15" customHeight="1">
      <c r="A159" s="8"/>
      <c r="B159" s="8"/>
      <c r="C159" s="58"/>
      <c r="D159" s="70"/>
      <c r="E159" s="9"/>
      <c r="F159" s="68"/>
      <c r="G159" s="68"/>
      <c r="H159" s="90"/>
      <c r="I159" s="180" t="e">
        <f>SUM(I155:I158)</f>
        <v>#DIV/0!</v>
      </c>
      <c r="J159" s="180" t="e">
        <f>SUM(J155:J158)</f>
        <v>#DIV/0!</v>
      </c>
      <c r="K159" s="89"/>
      <c r="L159" s="91"/>
      <c r="O159" s="63"/>
      <c r="P159" s="63"/>
      <c r="Q159" s="63"/>
      <c r="R159" s="63"/>
      <c r="S159" s="63"/>
    </row>
    <row r="160" spans="1:19" customFormat="1" ht="15" customHeight="1">
      <c r="A160" s="8"/>
      <c r="B160" s="8"/>
      <c r="C160" s="58"/>
      <c r="D160" s="9"/>
      <c r="E160" s="9"/>
      <c r="F160" s="16"/>
      <c r="G160" s="16"/>
      <c r="H160" s="16"/>
      <c r="I160" s="16"/>
      <c r="J160" s="19"/>
      <c r="K160" s="26"/>
      <c r="L160" s="17"/>
      <c r="O160" s="63"/>
      <c r="P160" s="63"/>
      <c r="Q160" s="63"/>
      <c r="R160" s="63"/>
      <c r="S160" s="63"/>
    </row>
    <row r="161" spans="1:19" customFormat="1" ht="15" customHeight="1">
      <c r="A161" s="8"/>
      <c r="B161" s="8"/>
      <c r="C161" s="58"/>
      <c r="D161" s="200" t="s">
        <v>185</v>
      </c>
      <c r="E161" s="9"/>
      <c r="F161" s="46" t="s">
        <v>159</v>
      </c>
      <c r="G161" s="47"/>
      <c r="H161" s="95"/>
      <c r="I161" s="50"/>
      <c r="J161" s="96"/>
      <c r="K161" s="205" t="s">
        <v>160</v>
      </c>
      <c r="L161" s="205"/>
      <c r="O161" s="63"/>
      <c r="P161" s="63"/>
      <c r="Q161" s="63"/>
      <c r="R161" s="63"/>
      <c r="S161" s="63"/>
    </row>
    <row r="162" spans="1:19" customFormat="1" ht="15" customHeight="1">
      <c r="A162" s="8"/>
      <c r="B162" s="8"/>
      <c r="C162" s="58"/>
      <c r="D162" s="200"/>
      <c r="E162" s="9"/>
      <c r="F162" s="21" t="s">
        <v>161</v>
      </c>
      <c r="G162" s="21"/>
      <c r="H162" s="60"/>
      <c r="I162" s="173" t="e">
        <f>(I37/($G$13*$H$18))*($H$19/($H$18+$H$19))</f>
        <v>#DIV/0!</v>
      </c>
      <c r="J162" s="173" t="e">
        <f>I162</f>
        <v>#DIV/0!</v>
      </c>
      <c r="K162" s="97" t="s">
        <v>162</v>
      </c>
      <c r="L162" s="25"/>
      <c r="O162" s="63"/>
      <c r="P162" s="63"/>
      <c r="Q162" s="63"/>
      <c r="R162" s="63"/>
      <c r="S162" s="63"/>
    </row>
    <row r="163" spans="1:19" customFormat="1" ht="15" customHeight="1">
      <c r="A163" s="8"/>
      <c r="B163" s="8"/>
      <c r="C163" s="58"/>
      <c r="D163" s="200"/>
      <c r="E163" s="9"/>
      <c r="F163" s="21" t="s">
        <v>163</v>
      </c>
      <c r="G163" s="21"/>
      <c r="H163" s="60"/>
      <c r="I163" s="173" t="e">
        <f>(I38/($G$13*$H$18))*($H$19/($H$18+$H$19))</f>
        <v>#DIV/0!</v>
      </c>
      <c r="J163" s="173" t="e">
        <f>I163</f>
        <v>#DIV/0!</v>
      </c>
      <c r="K163" s="97" t="s">
        <v>162</v>
      </c>
      <c r="L163" s="25"/>
      <c r="O163" s="63"/>
      <c r="P163" s="63"/>
      <c r="Q163" s="63"/>
      <c r="R163" s="63"/>
      <c r="S163" s="63"/>
    </row>
    <row r="164" spans="1:19" customFormat="1" ht="15" customHeight="1">
      <c r="A164" s="8"/>
      <c r="B164" s="8"/>
      <c r="C164" s="58"/>
      <c r="D164" s="200"/>
      <c r="E164" s="9"/>
      <c r="F164" s="94" t="s">
        <v>77</v>
      </c>
      <c r="G164" s="21" t="s">
        <v>164</v>
      </c>
      <c r="H164" s="60"/>
      <c r="I164" s="173" t="e">
        <f>(I39/($G$13*$H$18))*($H$19/($H$18+$H$19))</f>
        <v>#DIV/0!</v>
      </c>
      <c r="J164" s="173" t="e">
        <f t="shared" ref="J164:J165" si="4">I164</f>
        <v>#DIV/0!</v>
      </c>
      <c r="K164" s="97" t="s">
        <v>165</v>
      </c>
      <c r="L164" s="92"/>
      <c r="O164" s="63"/>
      <c r="P164" s="63"/>
      <c r="Q164" s="63"/>
      <c r="R164" s="63"/>
      <c r="S164" s="63"/>
    </row>
    <row r="165" spans="1:19" customFormat="1" ht="15" customHeight="1">
      <c r="A165" s="8"/>
      <c r="B165" s="8"/>
      <c r="C165" s="58"/>
      <c r="D165" s="200"/>
      <c r="E165" s="9"/>
      <c r="F165" s="94" t="s">
        <v>166</v>
      </c>
      <c r="G165" s="21" t="s">
        <v>167</v>
      </c>
      <c r="H165" s="60"/>
      <c r="I165" s="173" t="e">
        <f>(I40/($G$13*$H$18))*($H$19/($H$18+$H$19))</f>
        <v>#DIV/0!</v>
      </c>
      <c r="J165" s="173" t="e">
        <f t="shared" si="4"/>
        <v>#DIV/0!</v>
      </c>
      <c r="K165" s="97" t="s">
        <v>168</v>
      </c>
      <c r="L165" s="25"/>
      <c r="O165" s="63"/>
      <c r="P165" s="63"/>
      <c r="Q165" s="63"/>
      <c r="R165" s="63"/>
      <c r="S165" s="63"/>
    </row>
    <row r="166" spans="1:19" customFormat="1" ht="15" customHeight="1">
      <c r="A166" s="8"/>
      <c r="B166" s="8"/>
      <c r="C166" s="58"/>
      <c r="D166" s="200"/>
      <c r="E166" s="9"/>
      <c r="F166" s="21" t="s">
        <v>169</v>
      </c>
      <c r="G166" s="21"/>
      <c r="H166" s="24"/>
      <c r="I166" s="173">
        <f>IF(G23&gt;0,1/G19,0)</f>
        <v>0</v>
      </c>
      <c r="J166" s="173">
        <f>I166</f>
        <v>0</v>
      </c>
      <c r="K166" s="61" t="s">
        <v>170</v>
      </c>
      <c r="L166" s="92"/>
      <c r="O166" s="63"/>
      <c r="P166" s="63"/>
      <c r="Q166" s="63"/>
      <c r="R166" s="63"/>
      <c r="S166" s="63"/>
    </row>
    <row r="167" spans="1:19" customFormat="1" ht="15" customHeight="1">
      <c r="A167" s="8"/>
      <c r="B167" s="8"/>
      <c r="C167" s="58"/>
      <c r="D167" s="200"/>
      <c r="E167" s="9"/>
      <c r="F167" s="21" t="s">
        <v>171</v>
      </c>
      <c r="G167" s="21" t="s">
        <v>172</v>
      </c>
      <c r="H167" s="173" t="e">
        <f>G31/G25/G13</f>
        <v>#DIV/0!</v>
      </c>
      <c r="I167" s="173">
        <f>IF(G23&gt;0,((H167*G25)*(H19/(H18+H19)))/H19,0)</f>
        <v>0</v>
      </c>
      <c r="J167" s="173">
        <f>IF(G23&gt;0,((H167*G25)*(H19/(H18+H19)))/H19,0)</f>
        <v>0</v>
      </c>
      <c r="K167" s="116" t="s">
        <v>155</v>
      </c>
      <c r="L167" s="92"/>
      <c r="O167" s="63"/>
      <c r="P167" s="63"/>
      <c r="Q167" s="63"/>
      <c r="R167" s="63"/>
      <c r="S167" s="63"/>
    </row>
    <row r="168" spans="1:19" customFormat="1" ht="15" customHeight="1">
      <c r="A168" s="8"/>
      <c r="B168" s="8"/>
      <c r="C168" s="58"/>
      <c r="D168" s="200"/>
      <c r="E168" s="9"/>
      <c r="F168" s="21" t="s">
        <v>173</v>
      </c>
      <c r="G168" s="21" t="s">
        <v>174</v>
      </c>
      <c r="H168" s="69"/>
      <c r="I168" s="173">
        <f>IF(G23&gt;0,(((90/60)*J39*G25)*(H19/(H18+H19)))/(H19*G13),0)</f>
        <v>0</v>
      </c>
      <c r="J168" s="173">
        <f>IF(G23&gt;0,(((H168/60)*J39*G25)*(H19/(H18+H19)))/(H19*G13),0)</f>
        <v>0</v>
      </c>
      <c r="K168" s="116" t="s">
        <v>175</v>
      </c>
      <c r="L168" s="92"/>
      <c r="O168" s="63"/>
      <c r="P168" s="63"/>
      <c r="Q168" s="63"/>
      <c r="R168" s="63"/>
      <c r="S168" s="63"/>
    </row>
    <row r="169" spans="1:19" customFormat="1" ht="15" customHeight="1">
      <c r="A169" s="8"/>
      <c r="B169" s="8"/>
      <c r="C169" s="58"/>
      <c r="D169" s="70"/>
      <c r="E169" s="9"/>
      <c r="F169" s="68"/>
      <c r="G169" s="68"/>
      <c r="H169" s="67"/>
      <c r="I169" s="178" t="e">
        <f>SUM(I162:I168)</f>
        <v>#DIV/0!</v>
      </c>
      <c r="J169" s="178" t="e">
        <f>SUM(J162:J168)</f>
        <v>#DIV/0!</v>
      </c>
      <c r="L169" s="17"/>
    </row>
    <row r="170" spans="1:19" customFormat="1" ht="15" customHeight="1">
      <c r="A170" s="8"/>
      <c r="B170" s="8"/>
      <c r="C170" s="58"/>
      <c r="D170" s="9"/>
      <c r="E170" s="9"/>
      <c r="F170" s="16"/>
      <c r="G170" s="16"/>
      <c r="H170" s="16"/>
      <c r="I170" s="16"/>
      <c r="J170" s="19"/>
      <c r="K170" s="19"/>
      <c r="L170" s="17"/>
    </row>
    <row r="171" spans="1:19" customFormat="1" ht="15" customHeight="1">
      <c r="A171" s="8"/>
      <c r="B171" s="8"/>
      <c r="C171" s="58"/>
      <c r="D171" s="200" t="s">
        <v>186</v>
      </c>
      <c r="E171" s="9"/>
      <c r="F171" s="46" t="s">
        <v>177</v>
      </c>
      <c r="G171" s="47"/>
      <c r="H171" s="49"/>
      <c r="I171" s="50"/>
      <c r="J171" s="96"/>
      <c r="K171" s="205" t="s">
        <v>160</v>
      </c>
      <c r="L171" s="205"/>
    </row>
    <row r="172" spans="1:19" customFormat="1" ht="15" customHeight="1">
      <c r="A172" s="8"/>
      <c r="B172" s="8"/>
      <c r="C172" s="58"/>
      <c r="D172" s="200"/>
      <c r="E172" s="9"/>
      <c r="F172" s="94" t="str">
        <f t="shared" ref="F172:F179" si="5">F140</f>
        <v>Premises, utilities and services</v>
      </c>
      <c r="G172" s="86"/>
      <c r="H172" s="101"/>
      <c r="I172" s="173">
        <f>IF(G23&gt;0,(I45/($H$19*$G$13))*($H$18/($H$18+$H$19)),0)</f>
        <v>0</v>
      </c>
      <c r="J172" s="173">
        <f>I172</f>
        <v>0</v>
      </c>
      <c r="K172" s="97" t="s">
        <v>178</v>
      </c>
      <c r="L172" s="25"/>
      <c r="N172" s="130"/>
      <c r="O172" s="130"/>
    </row>
    <row r="173" spans="1:19" customFormat="1" ht="15" customHeight="1">
      <c r="A173" s="8"/>
      <c r="B173" s="8"/>
      <c r="C173" s="58"/>
      <c r="D173" s="200"/>
      <c r="E173" s="9"/>
      <c r="F173" s="94" t="str">
        <f t="shared" si="5"/>
        <v>Consumables and stationary</v>
      </c>
      <c r="G173" s="86"/>
      <c r="H173" s="101"/>
      <c r="I173" s="173">
        <f>IF(G23&gt;0,(I46/($H$19*$G$13))*($H$18/($H$18+$H$19)),0)</f>
        <v>0</v>
      </c>
      <c r="J173" s="173">
        <f t="shared" ref="J173:J179" si="6">I173</f>
        <v>0</v>
      </c>
      <c r="K173" s="97" t="s">
        <v>178</v>
      </c>
      <c r="L173" s="25"/>
      <c r="N173" s="130"/>
      <c r="O173" s="130"/>
    </row>
    <row r="174" spans="1:19" customFormat="1" ht="15" customHeight="1">
      <c r="A174" s="8"/>
      <c r="B174" s="8"/>
      <c r="C174" s="58"/>
      <c r="D174" s="200"/>
      <c r="E174" s="9"/>
      <c r="F174" s="94" t="str">
        <f t="shared" si="5"/>
        <v>Professional Costs</v>
      </c>
      <c r="G174" s="86"/>
      <c r="H174" s="101"/>
      <c r="I174" s="173">
        <f>IF(G23&gt;0,(I47/($H$19*$G$13))*($H$18/($H$18+$H$19)),0)</f>
        <v>0</v>
      </c>
      <c r="J174" s="173">
        <f t="shared" si="6"/>
        <v>0</v>
      </c>
      <c r="K174" s="97" t="s">
        <v>178</v>
      </c>
      <c r="L174" s="25"/>
      <c r="N174" s="130"/>
      <c r="O174" s="130"/>
    </row>
    <row r="175" spans="1:19" customFormat="1" ht="15" customHeight="1">
      <c r="A175" s="8"/>
      <c r="B175" s="8"/>
      <c r="C175" s="58"/>
      <c r="D175" s="200"/>
      <c r="E175" s="9"/>
      <c r="F175" s="94" t="str">
        <f t="shared" si="5"/>
        <v>Insurance</v>
      </c>
      <c r="G175" s="86"/>
      <c r="H175" s="101"/>
      <c r="I175" s="173">
        <f>IF(G23&gt;0,(I48/($H$19*$G$13))*($H$18/($H$18+$H$19)),0)</f>
        <v>0</v>
      </c>
      <c r="J175" s="173">
        <f t="shared" si="6"/>
        <v>0</v>
      </c>
      <c r="K175" s="97" t="s">
        <v>178</v>
      </c>
      <c r="L175" s="92"/>
      <c r="N175" s="130"/>
      <c r="O175" s="130"/>
    </row>
    <row r="176" spans="1:19" customFormat="1" ht="15" customHeight="1">
      <c r="A176" s="8"/>
      <c r="B176" s="8"/>
      <c r="C176" s="58"/>
      <c r="D176" s="200"/>
      <c r="E176" s="9"/>
      <c r="F176" s="94" t="str">
        <f t="shared" si="5"/>
        <v>Marketing/customer experience (eg website)</v>
      </c>
      <c r="G176" s="86"/>
      <c r="H176" s="101"/>
      <c r="I176" s="173">
        <f>IF(G23&gt;0,(I49/($H$19*$G$13))*($H$18/($H$18+$H$19)),0)</f>
        <v>0</v>
      </c>
      <c r="J176" s="173">
        <f t="shared" si="6"/>
        <v>0</v>
      </c>
      <c r="K176" s="97" t="s">
        <v>178</v>
      </c>
      <c r="L176" s="92"/>
      <c r="N176" s="130"/>
      <c r="O176" s="130"/>
    </row>
    <row r="177" spans="1:15" customFormat="1" ht="15" customHeight="1">
      <c r="A177" s="8"/>
      <c r="B177" s="8"/>
      <c r="C177" s="58"/>
      <c r="D177" s="200"/>
      <c r="E177" s="9"/>
      <c r="F177" s="94" t="str">
        <f t="shared" si="5"/>
        <v>Software Licensing</v>
      </c>
      <c r="G177" s="86"/>
      <c r="H177" s="101"/>
      <c r="I177" s="173">
        <f>IF(G23&gt;0,(I50/($H$19*$G$13))*($H$18/($H$18+$H$19)),0)</f>
        <v>0</v>
      </c>
      <c r="J177" s="173">
        <f t="shared" si="6"/>
        <v>0</v>
      </c>
      <c r="K177" s="97" t="s">
        <v>178</v>
      </c>
      <c r="L177" s="92"/>
      <c r="N177" s="130"/>
      <c r="O177" s="130"/>
    </row>
    <row r="178" spans="1:15" customFormat="1" ht="15" customHeight="1">
      <c r="A178" s="8"/>
      <c r="B178" s="8"/>
      <c r="C178" s="58"/>
      <c r="D178" s="200"/>
      <c r="E178" s="9"/>
      <c r="F178" s="94" t="str">
        <f t="shared" si="5"/>
        <v>ECMS</v>
      </c>
      <c r="G178" s="86"/>
      <c r="H178" s="101"/>
      <c r="I178" s="173">
        <f>IF(G23&gt;0,(I51/($H$19*$G$13))*($H$18/($H$18+$H$19)),0)</f>
        <v>0</v>
      </c>
      <c r="J178" s="173">
        <f t="shared" si="6"/>
        <v>0</v>
      </c>
      <c r="K178" s="97" t="s">
        <v>178</v>
      </c>
      <c r="L178" s="92"/>
      <c r="N178" s="130"/>
      <c r="O178" s="130"/>
    </row>
    <row r="179" spans="1:15" customFormat="1" ht="15" customHeight="1">
      <c r="A179" s="8"/>
      <c r="B179" s="8"/>
      <c r="C179" s="58"/>
      <c r="D179" s="200"/>
      <c r="E179" s="9"/>
      <c r="F179" s="98" t="str">
        <f t="shared" si="5"/>
        <v>&lt;other item&gt;</v>
      </c>
      <c r="G179" s="100"/>
      <c r="H179" s="103"/>
      <c r="I179" s="24">
        <v>0</v>
      </c>
      <c r="J179" s="24">
        <f t="shared" si="6"/>
        <v>0</v>
      </c>
      <c r="K179" s="61"/>
      <c r="L179" s="92"/>
      <c r="N179" s="130"/>
      <c r="O179" s="130"/>
    </row>
    <row r="180" spans="1:15" customFormat="1" ht="15" customHeight="1">
      <c r="A180" s="8"/>
      <c r="B180" s="8"/>
      <c r="C180" s="58"/>
      <c r="D180" s="93"/>
      <c r="E180" s="9"/>
      <c r="F180" s="16"/>
      <c r="G180" s="16"/>
      <c r="H180" s="16"/>
      <c r="I180" s="178">
        <f>SUM(I172:I179)</f>
        <v>0</v>
      </c>
      <c r="J180" s="178">
        <f>SUM(J172:J179)</f>
        <v>0</v>
      </c>
      <c r="K180" s="16"/>
    </row>
    <row r="181" spans="1:15" customFormat="1" ht="15" customHeight="1">
      <c r="A181" s="8"/>
      <c r="B181" s="8"/>
      <c r="C181" s="58"/>
      <c r="D181" s="9"/>
      <c r="E181" s="9"/>
      <c r="F181" s="55" t="s">
        <v>179</v>
      </c>
      <c r="G181" s="55" t="s">
        <v>180</v>
      </c>
      <c r="H181" s="56" t="s">
        <v>181</v>
      </c>
      <c r="I181" s="56"/>
      <c r="J181" s="55" t="s">
        <v>179</v>
      </c>
      <c r="K181" s="55"/>
      <c r="L181" s="17"/>
    </row>
    <row r="182" spans="1:15" s="63" customFormat="1" ht="15" customHeight="1">
      <c r="A182" s="110"/>
      <c r="B182" s="110"/>
      <c r="C182" s="111"/>
      <c r="D182" s="112"/>
      <c r="E182" s="112"/>
      <c r="F182" s="124" t="s">
        <v>187</v>
      </c>
      <c r="G182" s="125"/>
      <c r="H182" s="126"/>
      <c r="I182" s="123" t="e">
        <f>I159+I169+I180</f>
        <v>#DIV/0!</v>
      </c>
      <c r="J182" s="123" t="e">
        <f>J159+J169+J180</f>
        <v>#DIV/0!</v>
      </c>
      <c r="K182" s="55"/>
      <c r="L182" s="114"/>
    </row>
    <row r="183" spans="1:15" s="63" customFormat="1" ht="15" customHeight="1">
      <c r="A183" s="110"/>
      <c r="B183" s="110"/>
      <c r="C183" s="111"/>
      <c r="D183" s="112"/>
      <c r="E183" s="112"/>
      <c r="G183" s="113"/>
      <c r="H183" s="114"/>
      <c r="I183" s="114"/>
      <c r="J183" s="113"/>
      <c r="K183" s="113"/>
      <c r="L183" s="114"/>
    </row>
    <row r="184" spans="1:15" s="63" customFormat="1" ht="15" customHeight="1">
      <c r="A184" s="110"/>
      <c r="B184" s="110"/>
      <c r="C184" s="111"/>
      <c r="D184" s="112"/>
      <c r="E184" s="112"/>
      <c r="F184" s="113"/>
      <c r="G184" s="113"/>
      <c r="H184" s="114"/>
      <c r="I184" s="114"/>
      <c r="J184" s="113"/>
      <c r="K184" s="113"/>
      <c r="L184" s="114"/>
    </row>
    <row r="185" spans="1:15" customFormat="1" ht="15" customHeight="1">
      <c r="A185" s="8"/>
      <c r="B185" s="8"/>
      <c r="C185" s="58"/>
      <c r="D185" s="9"/>
      <c r="E185" s="9"/>
      <c r="F185" s="59" t="s">
        <v>188</v>
      </c>
      <c r="G185" s="39"/>
      <c r="H185" s="39"/>
      <c r="I185" s="39"/>
      <c r="J185" s="40"/>
      <c r="K185" s="40"/>
      <c r="L185" s="40"/>
    </row>
    <row r="186" spans="1:15" s="63" customFormat="1" ht="15" customHeight="1">
      <c r="A186" s="110"/>
      <c r="B186" s="110"/>
      <c r="C186" s="111"/>
      <c r="D186" s="112"/>
      <c r="E186" s="112"/>
      <c r="F186" s="113"/>
      <c r="G186" s="113"/>
      <c r="H186" s="114"/>
      <c r="I186" s="114"/>
      <c r="J186" s="113"/>
      <c r="K186" s="113"/>
      <c r="L186" s="114"/>
    </row>
    <row r="187" spans="1:15" s="63" customFormat="1" ht="30.75" customHeight="1">
      <c r="A187" s="110"/>
      <c r="B187" s="110"/>
      <c r="C187" s="111"/>
      <c r="D187" s="112"/>
      <c r="E187" s="112"/>
      <c r="F187" s="146" t="s">
        <v>189</v>
      </c>
      <c r="G187" s="113"/>
      <c r="H187" s="114"/>
      <c r="I187" s="133" t="s">
        <v>100</v>
      </c>
      <c r="J187" s="133" t="s">
        <v>101</v>
      </c>
      <c r="K187" s="113"/>
      <c r="L187" s="114"/>
    </row>
    <row r="188" spans="1:15" s="63" customFormat="1" ht="15" customHeight="1">
      <c r="A188" s="110"/>
      <c r="B188" s="110"/>
      <c r="C188" s="111"/>
      <c r="D188" s="112"/>
      <c r="E188" s="112"/>
      <c r="F188" s="143" t="s">
        <v>190</v>
      </c>
      <c r="G188" s="125"/>
      <c r="H188" s="126"/>
      <c r="I188" s="144" t="e">
        <f>I87</f>
        <v>#DIV/0!</v>
      </c>
      <c r="J188" s="144" t="e">
        <f>J87</f>
        <v>#DIV/0!</v>
      </c>
      <c r="K188" s="113"/>
      <c r="L188" s="195" t="s">
        <v>191</v>
      </c>
    </row>
    <row r="189" spans="1:15" s="63" customFormat="1" ht="15" customHeight="1">
      <c r="A189" s="110"/>
      <c r="B189" s="110"/>
      <c r="C189" s="111"/>
      <c r="D189" s="112"/>
      <c r="E189" s="112"/>
      <c r="F189" s="143" t="s">
        <v>192</v>
      </c>
      <c r="G189" s="125"/>
      <c r="H189" s="126"/>
      <c r="I189" s="144" t="e">
        <f>I150</f>
        <v>#DIV/0!</v>
      </c>
      <c r="J189" s="144" t="e">
        <f>J150</f>
        <v>#DIV/0!</v>
      </c>
      <c r="K189" s="113"/>
      <c r="L189" s="196"/>
    </row>
    <row r="190" spans="1:15" s="63" customFormat="1" ht="15" customHeight="1">
      <c r="A190" s="110"/>
      <c r="B190" s="110"/>
      <c r="C190" s="111"/>
      <c r="D190" s="112"/>
      <c r="E190" s="112"/>
      <c r="F190" s="143" t="s">
        <v>193</v>
      </c>
      <c r="G190" s="125"/>
      <c r="H190" s="145">
        <v>0</v>
      </c>
      <c r="I190" s="144" t="e">
        <f>H190*(I188+I189)</f>
        <v>#DIV/0!</v>
      </c>
      <c r="J190" s="144" t="e">
        <f>H190*(J188+J189)</f>
        <v>#DIV/0!</v>
      </c>
      <c r="K190" s="113"/>
      <c r="L190" s="196"/>
    </row>
    <row r="191" spans="1:15" s="63" customFormat="1" ht="15" customHeight="1">
      <c r="A191" s="110"/>
      <c r="B191" s="110"/>
      <c r="C191" s="111"/>
      <c r="D191" s="112"/>
      <c r="E191" s="112"/>
      <c r="F191" s="124" t="s">
        <v>194</v>
      </c>
      <c r="G191" s="125"/>
      <c r="H191" s="126"/>
      <c r="I191" s="123" t="e">
        <f>SUM(I188:I190)</f>
        <v>#DIV/0!</v>
      </c>
      <c r="J191" s="123" t="e">
        <f>SUM(J188:J190)</f>
        <v>#DIV/0!</v>
      </c>
      <c r="K191" s="113"/>
      <c r="L191" s="196"/>
    </row>
    <row r="192" spans="1:15" s="63" customFormat="1" ht="15" customHeight="1">
      <c r="A192" s="110"/>
      <c r="B192" s="110"/>
      <c r="C192" s="111"/>
      <c r="D192" s="112"/>
      <c r="E192" s="112"/>
      <c r="F192" s="113"/>
      <c r="G192" s="113"/>
      <c r="H192" s="114"/>
      <c r="I192" s="114"/>
      <c r="J192" s="113"/>
      <c r="K192" s="113"/>
      <c r="L192" s="196"/>
    </row>
    <row r="193" spans="1:12" s="63" customFormat="1" ht="15" customHeight="1">
      <c r="A193" s="110"/>
      <c r="B193" s="110"/>
      <c r="C193" s="111"/>
      <c r="D193" s="112"/>
      <c r="E193" s="112"/>
      <c r="F193" s="146" t="s">
        <v>195</v>
      </c>
      <c r="G193" s="113"/>
      <c r="H193" s="114"/>
      <c r="I193" s="114"/>
      <c r="J193" s="113"/>
      <c r="K193" s="113"/>
      <c r="L193" s="196"/>
    </row>
    <row r="194" spans="1:12" s="63" customFormat="1" ht="15" customHeight="1">
      <c r="A194" s="110"/>
      <c r="B194" s="110"/>
      <c r="C194" s="111"/>
      <c r="D194" s="112"/>
      <c r="E194" s="112"/>
      <c r="F194" s="143" t="s">
        <v>190</v>
      </c>
      <c r="G194" s="125"/>
      <c r="H194" s="126"/>
      <c r="I194" s="144" t="e">
        <f>I118</f>
        <v>#DIV/0!</v>
      </c>
      <c r="J194" s="144" t="e">
        <f>J118</f>
        <v>#DIV/0!</v>
      </c>
      <c r="K194" s="113"/>
      <c r="L194" s="196"/>
    </row>
    <row r="195" spans="1:12" s="63" customFormat="1" ht="15" customHeight="1">
      <c r="A195" s="110"/>
      <c r="B195" s="110"/>
      <c r="C195" s="111"/>
      <c r="D195" s="112"/>
      <c r="E195" s="112"/>
      <c r="F195" s="143" t="s">
        <v>192</v>
      </c>
      <c r="G195" s="125"/>
      <c r="H195" s="126"/>
      <c r="I195" s="144" t="e">
        <f>I182</f>
        <v>#DIV/0!</v>
      </c>
      <c r="J195" s="144" t="e">
        <f>J182</f>
        <v>#DIV/0!</v>
      </c>
      <c r="K195" s="113"/>
      <c r="L195" s="196"/>
    </row>
    <row r="196" spans="1:12" s="63" customFormat="1" ht="15" customHeight="1">
      <c r="A196" s="110"/>
      <c r="B196" s="110"/>
      <c r="C196" s="111"/>
      <c r="D196" s="112"/>
      <c r="E196" s="112"/>
      <c r="F196" s="143" t="s">
        <v>193</v>
      </c>
      <c r="G196" s="125"/>
      <c r="H196" s="145">
        <v>0</v>
      </c>
      <c r="I196" s="144" t="e">
        <f>H196*(I194+I195)</f>
        <v>#DIV/0!</v>
      </c>
      <c r="J196" s="144" t="e">
        <f>H196*(J194+J195)</f>
        <v>#DIV/0!</v>
      </c>
      <c r="K196" s="113"/>
      <c r="L196" s="196"/>
    </row>
    <row r="197" spans="1:12" s="63" customFormat="1" ht="15" customHeight="1">
      <c r="A197" s="110"/>
      <c r="B197" s="110"/>
      <c r="C197" s="111"/>
      <c r="D197" s="112"/>
      <c r="E197" s="112"/>
      <c r="F197" s="124" t="s">
        <v>194</v>
      </c>
      <c r="G197" s="125"/>
      <c r="H197" s="126"/>
      <c r="I197" s="123" t="e">
        <f>SUM(I194:I196)</f>
        <v>#DIV/0!</v>
      </c>
      <c r="J197" s="123" t="e">
        <f>SUM(J194:J196)</f>
        <v>#DIV/0!</v>
      </c>
      <c r="K197" s="113"/>
      <c r="L197" s="197"/>
    </row>
    <row r="198" spans="1:12" s="63" customFormat="1" ht="15" customHeight="1">
      <c r="A198" s="110"/>
      <c r="B198" s="110"/>
      <c r="C198" s="111"/>
      <c r="D198" s="112"/>
      <c r="E198" s="112"/>
      <c r="F198" s="20"/>
      <c r="G198" s="113"/>
      <c r="H198" s="114"/>
      <c r="I198" s="26"/>
      <c r="J198" s="26"/>
      <c r="K198" s="113"/>
      <c r="L198" s="136"/>
    </row>
    <row r="199" spans="1:12" customFormat="1" ht="15" customHeight="1">
      <c r="A199" s="8"/>
      <c r="B199" s="8"/>
      <c r="C199" s="58"/>
      <c r="D199" s="9"/>
      <c r="E199" s="9"/>
      <c r="F199" s="18"/>
      <c r="G199" s="18"/>
      <c r="H199" s="18"/>
      <c r="I199" s="26"/>
      <c r="J199" s="26"/>
      <c r="L199" s="17"/>
    </row>
    <row r="200" spans="1:12" customFormat="1" ht="15" customHeight="1">
      <c r="A200" s="8"/>
      <c r="B200" s="8"/>
      <c r="C200" s="58"/>
      <c r="D200" s="9"/>
      <c r="E200" s="9"/>
      <c r="F200" s="18"/>
      <c r="G200" s="18"/>
      <c r="H200" s="18"/>
      <c r="I200" s="26"/>
      <c r="J200" s="26"/>
      <c r="L200" s="17"/>
    </row>
    <row r="201" spans="1:12" customFormat="1" ht="15" customHeight="1">
      <c r="A201" s="8"/>
      <c r="B201" s="8"/>
      <c r="C201" s="58"/>
      <c r="D201" s="9"/>
      <c r="E201" s="9"/>
      <c r="F201" s="18"/>
      <c r="G201" s="18"/>
      <c r="H201" s="18"/>
      <c r="I201" s="26"/>
      <c r="J201" s="26"/>
      <c r="L201" s="17"/>
    </row>
    <row r="202" spans="1:12" customFormat="1" ht="15" customHeight="1">
      <c r="A202" s="8"/>
      <c r="B202" s="8"/>
      <c r="C202" s="58"/>
      <c r="D202" s="9"/>
      <c r="E202" s="9"/>
      <c r="F202" s="18"/>
      <c r="G202" s="18"/>
      <c r="H202" s="18"/>
      <c r="I202" s="26"/>
      <c r="J202" s="26"/>
      <c r="L202" s="17"/>
    </row>
    <row r="203" spans="1:12" customFormat="1" ht="15" customHeight="1">
      <c r="A203" s="8"/>
      <c r="B203" s="8"/>
      <c r="C203" s="58"/>
      <c r="D203" s="9"/>
      <c r="E203" s="9"/>
      <c r="F203" s="18"/>
      <c r="G203" s="18"/>
      <c r="H203" s="18"/>
      <c r="I203" s="26"/>
      <c r="J203" s="26"/>
      <c r="L203" s="17"/>
    </row>
    <row r="204" spans="1:12" customFormat="1" ht="15" customHeight="1">
      <c r="A204" s="8"/>
      <c r="B204" s="8"/>
      <c r="C204" s="58"/>
      <c r="D204" s="9"/>
      <c r="E204" s="9"/>
      <c r="F204" s="18"/>
      <c r="G204" s="18"/>
      <c r="H204" s="18"/>
      <c r="I204" s="26"/>
      <c r="J204" s="26"/>
      <c r="L204" s="17"/>
    </row>
    <row r="205" spans="1:12" customFormat="1" ht="15" customHeight="1">
      <c r="A205" s="8"/>
      <c r="B205" s="8"/>
      <c r="C205" s="58"/>
      <c r="D205" s="9"/>
      <c r="E205" s="9"/>
      <c r="F205" s="18"/>
      <c r="G205" s="18"/>
      <c r="H205" s="18"/>
      <c r="I205" s="26"/>
      <c r="J205" s="26"/>
      <c r="L205" s="17"/>
    </row>
    <row r="206" spans="1:12" customFormat="1" ht="15" customHeight="1">
      <c r="A206" s="8"/>
      <c r="B206" s="8"/>
      <c r="C206" s="58"/>
      <c r="D206" s="9"/>
      <c r="E206" s="9"/>
      <c r="F206" s="18"/>
      <c r="G206" s="18"/>
      <c r="H206" s="18"/>
      <c r="I206" s="26"/>
      <c r="J206" s="26"/>
      <c r="L206" s="17"/>
    </row>
    <row r="207" spans="1:12" customFormat="1" ht="15" customHeight="1">
      <c r="A207" s="8"/>
      <c r="B207" s="8"/>
      <c r="C207" s="58"/>
      <c r="D207" s="9"/>
      <c r="E207" s="9"/>
      <c r="F207" s="18"/>
      <c r="G207" s="18"/>
      <c r="H207" s="18"/>
      <c r="I207" s="26"/>
      <c r="J207" s="26"/>
      <c r="L207" s="17"/>
    </row>
    <row r="208" spans="1:12" customFormat="1" ht="15" customHeight="1">
      <c r="A208" s="8"/>
      <c r="B208" s="8"/>
      <c r="C208" s="58"/>
      <c r="D208" s="9"/>
      <c r="E208" s="9"/>
      <c r="F208" s="18"/>
      <c r="G208" s="18"/>
      <c r="H208" s="18"/>
      <c r="I208" s="26"/>
      <c r="J208" s="26"/>
      <c r="L208" s="17"/>
    </row>
    <row r="209" spans="1:12" customFormat="1" ht="15" customHeight="1">
      <c r="A209" s="8"/>
      <c r="B209" s="8"/>
      <c r="C209" s="58"/>
      <c r="D209" s="9"/>
      <c r="E209" s="9"/>
      <c r="F209" s="18"/>
      <c r="G209" s="18"/>
      <c r="H209" s="18"/>
      <c r="I209" s="26"/>
      <c r="J209" s="26"/>
      <c r="L209" s="17"/>
    </row>
    <row r="210" spans="1:12" customFormat="1" ht="15" customHeight="1">
      <c r="A210" s="8"/>
      <c r="B210" s="8"/>
      <c r="C210" s="58"/>
      <c r="D210" s="9"/>
      <c r="E210" s="9"/>
      <c r="F210" s="18"/>
      <c r="G210" s="18"/>
      <c r="H210" s="18"/>
      <c r="I210" s="26"/>
      <c r="J210" s="26"/>
      <c r="L210" s="17"/>
    </row>
    <row r="211" spans="1:12" customFormat="1" ht="15" customHeight="1">
      <c r="A211" s="8"/>
      <c r="B211" s="8"/>
      <c r="C211" s="58"/>
      <c r="D211" s="9"/>
      <c r="E211" s="9"/>
      <c r="F211" s="18"/>
      <c r="G211" s="18"/>
      <c r="H211" s="18"/>
      <c r="I211" s="26"/>
      <c r="J211" s="26"/>
      <c r="L211" s="17"/>
    </row>
    <row r="212" spans="1:12" customFormat="1" ht="15" customHeight="1">
      <c r="A212" s="8"/>
      <c r="B212" s="8"/>
      <c r="C212" s="58"/>
      <c r="D212" s="9"/>
      <c r="E212" s="9"/>
      <c r="F212" s="18"/>
      <c r="G212" s="18"/>
      <c r="H212" s="18"/>
      <c r="I212" s="26"/>
      <c r="J212" s="26"/>
      <c r="L212" s="17"/>
    </row>
    <row r="213" spans="1:12" customFormat="1" ht="15" customHeight="1">
      <c r="A213" s="8"/>
      <c r="B213" s="8"/>
      <c r="C213" s="58"/>
      <c r="D213" s="9"/>
      <c r="E213" s="9"/>
      <c r="F213" s="18"/>
      <c r="G213" s="18"/>
      <c r="H213" s="18"/>
      <c r="I213" s="26"/>
      <c r="J213" s="26"/>
      <c r="L213" s="17"/>
    </row>
    <row r="214" spans="1:12" customFormat="1" ht="15" customHeight="1">
      <c r="A214" s="8"/>
      <c r="B214" s="8"/>
      <c r="C214" s="58"/>
      <c r="D214" s="9"/>
      <c r="E214" s="9"/>
      <c r="F214" s="18"/>
      <c r="G214" s="18"/>
      <c r="H214" s="18"/>
      <c r="I214" s="26"/>
      <c r="J214" s="26"/>
      <c r="L214" s="17"/>
    </row>
    <row r="215" spans="1:12" customFormat="1" ht="15" customHeight="1">
      <c r="A215" s="8"/>
      <c r="B215" s="8"/>
      <c r="C215" s="58"/>
      <c r="D215" s="9"/>
      <c r="E215" s="9"/>
      <c r="F215" s="18"/>
      <c r="G215" s="18"/>
      <c r="H215" s="18"/>
      <c r="I215" s="26"/>
      <c r="J215" s="26"/>
      <c r="L215" s="17"/>
    </row>
    <row r="216" spans="1:12" customFormat="1" ht="15" customHeight="1">
      <c r="A216" s="8"/>
      <c r="B216" s="8"/>
      <c r="C216" s="58"/>
      <c r="D216" s="9"/>
      <c r="E216" s="9"/>
      <c r="F216" s="18"/>
      <c r="G216" s="18"/>
      <c r="H216" s="18"/>
      <c r="I216" s="26"/>
      <c r="J216" s="26"/>
      <c r="L216" s="17"/>
    </row>
    <row r="217" spans="1:12" customFormat="1" ht="15" customHeight="1">
      <c r="A217" s="8"/>
      <c r="B217" s="8"/>
      <c r="C217" s="58"/>
      <c r="D217" s="9"/>
      <c r="E217" s="9"/>
      <c r="F217" s="18"/>
      <c r="G217" s="18"/>
      <c r="H217" s="18"/>
      <c r="I217" s="26"/>
      <c r="J217" s="26"/>
      <c r="L217" s="17"/>
    </row>
    <row r="218" spans="1:12" customFormat="1" ht="15" customHeight="1">
      <c r="A218" s="8"/>
      <c r="B218" s="8"/>
      <c r="C218" s="58"/>
      <c r="D218" s="9"/>
      <c r="E218" s="9"/>
      <c r="F218" s="18"/>
      <c r="G218" s="18"/>
      <c r="H218" s="18"/>
      <c r="I218" s="26"/>
      <c r="J218" s="26"/>
      <c r="L218" s="17"/>
    </row>
    <row r="219" spans="1:12" customFormat="1" ht="15" customHeight="1">
      <c r="A219" s="8"/>
      <c r="B219" s="8"/>
      <c r="C219" s="58"/>
      <c r="D219" s="9"/>
      <c r="E219" s="9"/>
      <c r="F219" s="18"/>
      <c r="G219" s="18"/>
      <c r="H219" s="18"/>
      <c r="I219" s="26"/>
      <c r="J219" s="26"/>
      <c r="L219" s="17"/>
    </row>
    <row r="220" spans="1:12" customFormat="1" ht="15" customHeight="1">
      <c r="A220" s="8"/>
      <c r="B220" s="8"/>
      <c r="C220" s="58"/>
      <c r="D220" s="9"/>
      <c r="E220" s="9"/>
      <c r="F220" s="18"/>
      <c r="G220" s="18"/>
      <c r="H220" s="18"/>
      <c r="I220" s="26"/>
      <c r="J220" s="26"/>
      <c r="L220" s="17"/>
    </row>
    <row r="221" spans="1:12" customFormat="1" ht="15" customHeight="1">
      <c r="A221" s="8"/>
      <c r="B221" s="8"/>
      <c r="C221" s="58"/>
      <c r="D221" s="9"/>
      <c r="E221" s="9"/>
      <c r="F221" s="18"/>
      <c r="G221" s="18"/>
      <c r="H221" s="18"/>
      <c r="I221" s="26"/>
      <c r="J221" s="26"/>
      <c r="L221" s="17"/>
    </row>
    <row r="222" spans="1:12" customFormat="1" ht="15" customHeight="1">
      <c r="A222" s="8"/>
      <c r="B222" s="8"/>
      <c r="C222" s="58"/>
      <c r="D222" s="9"/>
      <c r="E222" s="9"/>
      <c r="F222" s="18"/>
      <c r="G222" s="18"/>
      <c r="H222" s="18"/>
      <c r="I222" s="26"/>
      <c r="J222" s="26"/>
      <c r="L222" s="17"/>
    </row>
    <row r="223" spans="1:12" customFormat="1" ht="15" customHeight="1">
      <c r="A223" s="8"/>
      <c r="B223" s="8"/>
      <c r="C223" s="58"/>
      <c r="D223" s="9"/>
      <c r="E223" s="9"/>
      <c r="F223" s="18"/>
      <c r="G223" s="18"/>
      <c r="H223" s="18"/>
      <c r="I223" s="26"/>
      <c r="J223" s="26"/>
      <c r="L223" s="17"/>
    </row>
    <row r="224" spans="1:12" customFormat="1" ht="15" customHeight="1">
      <c r="A224" s="8"/>
      <c r="B224" s="8"/>
      <c r="C224" s="58"/>
      <c r="D224" s="9"/>
      <c r="E224" s="9"/>
      <c r="F224" s="18"/>
      <c r="G224" s="18"/>
      <c r="H224" s="18"/>
      <c r="I224" s="26"/>
      <c r="J224" s="26"/>
      <c r="L224" s="17"/>
    </row>
    <row r="225" spans="1:12" customFormat="1" ht="15" customHeight="1">
      <c r="A225" s="8"/>
      <c r="B225" s="8"/>
      <c r="C225" s="58"/>
      <c r="D225" s="9"/>
      <c r="E225" s="9"/>
      <c r="F225" s="18"/>
      <c r="G225" s="18"/>
      <c r="H225" s="18"/>
      <c r="I225" s="26"/>
      <c r="J225" s="26"/>
      <c r="L225" s="17"/>
    </row>
    <row r="226" spans="1:12" customFormat="1" ht="15" customHeight="1">
      <c r="A226" s="8"/>
      <c r="B226" s="8"/>
      <c r="C226" s="58"/>
      <c r="D226" s="9"/>
      <c r="E226" s="9"/>
      <c r="F226" s="18"/>
      <c r="G226" s="18"/>
      <c r="H226" s="18"/>
      <c r="I226" s="26"/>
      <c r="J226" s="26"/>
      <c r="L226" s="17"/>
    </row>
    <row r="227" spans="1:12" customFormat="1" ht="15" customHeight="1">
      <c r="A227" s="8"/>
      <c r="B227" s="8"/>
      <c r="C227" s="58"/>
      <c r="D227" s="9"/>
      <c r="E227" s="9"/>
      <c r="F227" s="55"/>
      <c r="G227" s="55"/>
      <c r="H227" s="56"/>
      <c r="I227" s="56"/>
      <c r="J227" s="55"/>
      <c r="K227" s="55"/>
      <c r="L227" s="17"/>
    </row>
    <row r="228" spans="1:12" customFormat="1" ht="15" customHeight="1">
      <c r="A228" s="8"/>
      <c r="B228" s="8"/>
      <c r="C228" s="58"/>
      <c r="D228" s="9"/>
      <c r="E228" s="9"/>
      <c r="F228" s="55"/>
      <c r="G228" s="55"/>
      <c r="H228" s="56"/>
      <c r="I228" s="56"/>
      <c r="J228" s="55"/>
      <c r="K228" s="55"/>
      <c r="L228" s="17"/>
    </row>
    <row r="229" spans="1:12" customFormat="1" ht="15" customHeight="1">
      <c r="A229" s="8"/>
      <c r="B229" s="8"/>
      <c r="C229" s="58"/>
      <c r="D229" s="9"/>
      <c r="E229" s="9"/>
      <c r="F229" s="59" t="s">
        <v>196</v>
      </c>
      <c r="G229" s="39"/>
      <c r="H229" s="39"/>
      <c r="I229" s="39"/>
      <c r="J229" s="40"/>
      <c r="K229" s="40"/>
      <c r="L229" s="40"/>
    </row>
    <row r="230" spans="1:12" customFormat="1" ht="15" customHeight="1">
      <c r="A230" s="8"/>
      <c r="B230" s="8"/>
      <c r="C230" s="58"/>
      <c r="D230" s="9"/>
      <c r="E230" s="9"/>
      <c r="F230" s="55"/>
      <c r="G230" s="55"/>
      <c r="H230" s="56"/>
      <c r="I230" s="56"/>
      <c r="J230" s="55"/>
      <c r="K230" s="55"/>
      <c r="L230" s="17"/>
    </row>
    <row r="231" spans="1:12" customFormat="1" ht="33" customHeight="1">
      <c r="A231" s="8"/>
      <c r="B231" s="8"/>
      <c r="C231" s="58"/>
      <c r="D231" s="9"/>
      <c r="E231" s="9"/>
      <c r="F231" s="159" t="s">
        <v>197</v>
      </c>
      <c r="G231" s="220" t="s">
        <v>198</v>
      </c>
      <c r="H231" s="220"/>
      <c r="I231" s="115" t="s">
        <v>199</v>
      </c>
      <c r="J231" s="221" t="s">
        <v>200</v>
      </c>
      <c r="K231" s="221"/>
      <c r="L231" s="221"/>
    </row>
    <row r="232" spans="1:12" customFormat="1" ht="15" customHeight="1">
      <c r="A232" s="8"/>
      <c r="B232" s="8"/>
      <c r="C232" s="58"/>
      <c r="D232" s="9"/>
      <c r="E232" s="9"/>
      <c r="F232" s="157"/>
      <c r="G232" s="157"/>
      <c r="H232" s="56"/>
      <c r="I232" s="56"/>
      <c r="J232" s="55"/>
      <c r="K232" s="55"/>
      <c r="L232" s="17"/>
    </row>
    <row r="233" spans="1:12" customFormat="1" ht="33" customHeight="1">
      <c r="A233" s="8"/>
      <c r="B233" s="8"/>
      <c r="C233" s="58"/>
      <c r="D233" s="9"/>
      <c r="E233" s="9"/>
      <c r="F233" s="158" t="s">
        <v>201</v>
      </c>
      <c r="G233" s="209" t="s">
        <v>202</v>
      </c>
      <c r="H233" s="209"/>
      <c r="I233" s="115" t="s">
        <v>199</v>
      </c>
      <c r="J233" s="208" t="s">
        <v>203</v>
      </c>
      <c r="K233" s="208"/>
      <c r="L233" s="208"/>
    </row>
    <row r="234" spans="1:12" customFormat="1" ht="15" customHeight="1">
      <c r="A234" s="8"/>
      <c r="B234" s="8"/>
      <c r="C234" s="58"/>
      <c r="D234" s="9"/>
      <c r="E234" s="9"/>
      <c r="F234" s="157"/>
      <c r="G234" s="157"/>
      <c r="H234" s="56"/>
      <c r="I234" s="56"/>
      <c r="J234" s="55"/>
      <c r="K234" s="55"/>
      <c r="L234" s="17"/>
    </row>
    <row r="235" spans="1:12" customFormat="1" ht="33" customHeight="1">
      <c r="A235" s="8"/>
      <c r="B235" s="8"/>
      <c r="C235" s="58"/>
      <c r="D235" s="9"/>
      <c r="E235" s="9"/>
      <c r="F235" s="158" t="s">
        <v>204</v>
      </c>
      <c r="G235" s="209" t="s">
        <v>205</v>
      </c>
      <c r="H235" s="209"/>
      <c r="I235" s="115" t="s">
        <v>199</v>
      </c>
      <c r="J235" s="208" t="s">
        <v>206</v>
      </c>
      <c r="K235" s="208"/>
      <c r="L235" s="208"/>
    </row>
    <row r="236" spans="1:12" customFormat="1" ht="15" customHeight="1">
      <c r="A236" s="8"/>
      <c r="B236" s="8"/>
      <c r="C236" s="58"/>
      <c r="D236" s="9"/>
      <c r="E236" s="9"/>
      <c r="F236" s="55"/>
      <c r="G236" s="55"/>
      <c r="H236" s="56"/>
      <c r="I236" s="56"/>
      <c r="J236" s="55"/>
      <c r="K236" s="55"/>
      <c r="L236" s="17"/>
    </row>
    <row r="237" spans="1:12" customFormat="1" ht="33" customHeight="1">
      <c r="A237" s="8"/>
      <c r="B237" s="8"/>
      <c r="C237" s="58"/>
      <c r="D237" s="9"/>
      <c r="E237" s="9"/>
      <c r="F237" s="158" t="s">
        <v>207</v>
      </c>
      <c r="G237" s="209" t="s">
        <v>208</v>
      </c>
      <c r="H237" s="209"/>
      <c r="I237" s="115" t="s">
        <v>199</v>
      </c>
      <c r="J237" s="208" t="s">
        <v>209</v>
      </c>
      <c r="K237" s="208"/>
      <c r="L237" s="208"/>
    </row>
    <row r="238" spans="1:12" customFormat="1" ht="15" customHeight="1">
      <c r="A238" s="8"/>
      <c r="B238" s="8"/>
      <c r="C238" s="58"/>
      <c r="D238" s="9"/>
      <c r="E238" s="9"/>
      <c r="F238" s="55"/>
      <c r="G238" s="55"/>
      <c r="H238" s="56"/>
      <c r="I238" s="56"/>
      <c r="J238" s="55"/>
      <c r="K238" s="55"/>
      <c r="L238" s="17"/>
    </row>
    <row r="239" spans="1:12" customFormat="1" ht="15" customHeight="1">
      <c r="A239" s="8"/>
      <c r="B239" s="8"/>
      <c r="C239" s="58"/>
      <c r="D239" s="9"/>
      <c r="E239" s="9"/>
      <c r="F239" s="55"/>
      <c r="G239" s="55"/>
      <c r="H239" s="56"/>
      <c r="I239" s="56"/>
      <c r="J239" s="55"/>
      <c r="K239" s="55"/>
      <c r="L239" s="17"/>
    </row>
    <row r="240" spans="1:12" customFormat="1" ht="15" customHeight="1">
      <c r="A240" s="8"/>
      <c r="B240" s="8"/>
      <c r="C240" s="58"/>
      <c r="D240" s="9"/>
      <c r="E240" s="9"/>
      <c r="F240" s="55"/>
      <c r="G240" s="55"/>
      <c r="H240" s="56"/>
      <c r="I240" s="56"/>
      <c r="J240" s="55"/>
      <c r="K240" s="55"/>
      <c r="L240" s="17"/>
    </row>
    <row r="241" s="8" customFormat="1" ht="14.1"/>
    <row r="242" s="8" customFormat="1" ht="14.1"/>
    <row r="243" s="8" customFormat="1" ht="14.1"/>
    <row r="244" s="8" customFormat="1" ht="14.1"/>
    <row r="245" s="8" customFormat="1" ht="14.1"/>
    <row r="246" s="8" customFormat="1" ht="14.1"/>
    <row r="247" s="8" customFormat="1" ht="14.1"/>
    <row r="248" s="8" customFormat="1" ht="14.1"/>
    <row r="249" s="8" customFormat="1" ht="14.1"/>
    <row r="250" s="8" customFormat="1" ht="14.1"/>
    <row r="251" s="8" customFormat="1" ht="14.1"/>
    <row r="252" s="8" customFormat="1" ht="14.1"/>
    <row r="253" s="8" customFormat="1" ht="14.1"/>
    <row r="254" s="8" customFormat="1" ht="14.1"/>
    <row r="255" s="8" customFormat="1" ht="14.1"/>
    <row r="256" s="8" customFormat="1" ht="14.1"/>
    <row r="257" s="8" customFormat="1" ht="14.1"/>
    <row r="258" s="8" customFormat="1" ht="14.1"/>
    <row r="259" s="8" customFormat="1" ht="14.1"/>
    <row r="260" s="8" customFormat="1" ht="14.1"/>
    <row r="261" s="8" customFormat="1" ht="14.1"/>
    <row r="262" s="8" customFormat="1" ht="14.1"/>
    <row r="263" s="8" customFormat="1" ht="14.1"/>
    <row r="264" s="8" customFormat="1" ht="14.1"/>
    <row r="265" s="8" customFormat="1" ht="14.1"/>
    <row r="266" s="8" customFormat="1" ht="14.1"/>
    <row r="267" s="8" customFormat="1" ht="14.1"/>
    <row r="268" s="8" customFormat="1" ht="14.1"/>
    <row r="269" s="8" customFormat="1" ht="14.1"/>
    <row r="270" s="8" customFormat="1" ht="14.1"/>
    <row r="271" s="8" customFormat="1" ht="14.1"/>
    <row r="272" s="8" customFormat="1" ht="14.1"/>
    <row r="273" s="8" customFormat="1" ht="14.1"/>
    <row r="274" s="8" customFormat="1" ht="14.1"/>
    <row r="275" s="8" customFormat="1" ht="14.1"/>
    <row r="276" s="8" customFormat="1" ht="14.1"/>
    <row r="277" s="8" customFormat="1" ht="14.1"/>
    <row r="278" s="8" customFormat="1" ht="14.1"/>
    <row r="279" s="8" customFormat="1" ht="14.1"/>
    <row r="280" s="8" customFormat="1" ht="14.1"/>
    <row r="281" s="8" customFormat="1" ht="14.1"/>
    <row r="282" s="8" customFormat="1" ht="14.1"/>
    <row r="283" s="8" customFormat="1" ht="14.1"/>
    <row r="284" s="8" customFormat="1" ht="14.1"/>
    <row r="285" s="8" customFormat="1" ht="14.1"/>
    <row r="286" s="8" customFormat="1" ht="14.1"/>
    <row r="287" s="8" customFormat="1" ht="14.1"/>
    <row r="288" s="8" customFormat="1" ht="14.1"/>
    <row r="289" s="8" customFormat="1" ht="14.1"/>
    <row r="290" s="8" customFormat="1" ht="14.1"/>
    <row r="291" s="8" customFormat="1" ht="14.1"/>
    <row r="292" s="8" customFormat="1" ht="14.1"/>
    <row r="293" s="8" customFormat="1" ht="14.1"/>
    <row r="294" s="8" customFormat="1" ht="14.1"/>
    <row r="295" s="8" customFormat="1" ht="14.1"/>
    <row r="296" s="8" customFormat="1" ht="14.1"/>
    <row r="297" s="8" customFormat="1" ht="14.1"/>
    <row r="298" s="8" customFormat="1" ht="14.1"/>
    <row r="299" s="8" customFormat="1" ht="14.1"/>
    <row r="300" s="8" customFormat="1" ht="14.1"/>
    <row r="301" s="8" customFormat="1" ht="14.1"/>
    <row r="302" s="8" customFormat="1" ht="14.1"/>
    <row r="303" s="8" customFormat="1" ht="14.1"/>
    <row r="304" s="8" customFormat="1" ht="14.1"/>
    <row r="305" spans="6:11" s="8" customFormat="1" ht="14.1"/>
    <row r="306" spans="6:11" s="8" customFormat="1" ht="14.1"/>
    <row r="307" spans="6:11" s="8" customFormat="1" ht="14.1">
      <c r="F307" s="7"/>
      <c r="G307" s="7"/>
      <c r="H307" s="7"/>
      <c r="I307" s="7"/>
      <c r="J307" s="7"/>
      <c r="K307" s="7"/>
    </row>
  </sheetData>
  <mergeCells count="40">
    <mergeCell ref="F2:J2"/>
    <mergeCell ref="F4:L4"/>
    <mergeCell ref="D6:D8"/>
    <mergeCell ref="D10:D31"/>
    <mergeCell ref="J14:L15"/>
    <mergeCell ref="K18:K19"/>
    <mergeCell ref="L18:L19"/>
    <mergeCell ref="D113:D116"/>
    <mergeCell ref="D35:D42"/>
    <mergeCell ref="D44:D53"/>
    <mergeCell ref="D58:D65"/>
    <mergeCell ref="K59:L59"/>
    <mergeCell ref="D67:D74"/>
    <mergeCell ref="D76:D80"/>
    <mergeCell ref="D82:D85"/>
    <mergeCell ref="D89:D96"/>
    <mergeCell ref="K90:L90"/>
    <mergeCell ref="D98:D105"/>
    <mergeCell ref="D107:D111"/>
    <mergeCell ref="D122:D126"/>
    <mergeCell ref="K122:L122"/>
    <mergeCell ref="D129:D136"/>
    <mergeCell ref="K129:L129"/>
    <mergeCell ref="D139:D147"/>
    <mergeCell ref="K139:L139"/>
    <mergeCell ref="D154:D158"/>
    <mergeCell ref="K154:L154"/>
    <mergeCell ref="D161:D168"/>
    <mergeCell ref="K161:L161"/>
    <mergeCell ref="D171:D179"/>
    <mergeCell ref="K171:L171"/>
    <mergeCell ref="G237:H237"/>
    <mergeCell ref="J237:L237"/>
    <mergeCell ref="L188:L197"/>
    <mergeCell ref="G231:H231"/>
    <mergeCell ref="J231:L231"/>
    <mergeCell ref="G233:H233"/>
    <mergeCell ref="J233:L233"/>
    <mergeCell ref="G235:H235"/>
    <mergeCell ref="J235:L235"/>
  </mergeCells>
  <hyperlinks>
    <hyperlink ref="J231" r:id="rId1" xr:uid="{3DE0B23B-1DD5-4ABC-A3D3-28B6BE2979EB}"/>
    <hyperlink ref="J233" r:id="rId2" xr:uid="{1BDE8BDF-155A-4FCD-84B0-4F41F85A5C58}"/>
    <hyperlink ref="J235" r:id="rId3" xr:uid="{34D95D29-1B24-4FB5-9C1C-512AE56B634A}"/>
    <hyperlink ref="J237" r:id="rId4" xr:uid="{9DB6E4C2-B775-4F92-8C84-BB7E220BDAD5}"/>
  </hyperlinks>
  <pageMargins left="0.70866141732283472" right="0.70866141732283472" top="0.74803149606299213" bottom="0.74803149606299213" header="0.31496062992125984" footer="0.31496062992125984"/>
  <pageSetup paperSize="8" scale="62" fitToHeight="0" orientation="landscape" r:id="rId5"/>
  <rowBreaks count="3" manualBreakCount="3">
    <brk id="56" min="2" max="11" man="1"/>
    <brk id="119" min="2" max="11" man="1"/>
    <brk id="183" min="2" max="11" man="1"/>
  </rowBreak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4792B-734D-4F83-8D43-EE2FE2209C82}">
  <sheetPr>
    <tabColor theme="0" tint="-0.499984740745262"/>
    <pageSetUpPr fitToPage="1"/>
  </sheetPr>
  <dimension ref="B1:C4"/>
  <sheetViews>
    <sheetView showGridLines="0" workbookViewId="0">
      <selection activeCell="B1" sqref="B1"/>
    </sheetView>
  </sheetViews>
  <sheetFormatPr defaultColWidth="9.140625" defaultRowHeight="14.45"/>
  <cols>
    <col min="1" max="1" width="4.85546875" customWidth="1"/>
    <col min="2" max="2" width="15.42578125" customWidth="1"/>
    <col min="3" max="3" width="72.5703125" customWidth="1"/>
  </cols>
  <sheetData>
    <row r="1" spans="2:3">
      <c r="B1" s="59" t="s">
        <v>210</v>
      </c>
      <c r="C1" s="39"/>
    </row>
    <row r="2" spans="2:3">
      <c r="B2" s="18"/>
    </row>
    <row r="3" spans="2:3">
      <c r="B3" s="162" t="s">
        <v>211</v>
      </c>
      <c r="C3" s="163" t="s">
        <v>212</v>
      </c>
    </row>
    <row r="4" spans="2:3" ht="29.1">
      <c r="B4" s="164" t="s">
        <v>213</v>
      </c>
      <c r="C4" s="165" t="s">
        <v>214</v>
      </c>
    </row>
  </sheetData>
  <pageMargins left="0.7" right="0.7" top="0.75" bottom="0.75" header="0.3" footer="0.3"/>
  <pageSetup paperSize="9" scale="94" fitToHeight="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DB0CB39C5B5348B4DE2091742626D2" ma:contentTypeVersion="6" ma:contentTypeDescription="Create a new document." ma:contentTypeScope="" ma:versionID="787bc188643a45db9c89c22b85f3f6a0">
  <xsd:schema xmlns:xsd="http://www.w3.org/2001/XMLSchema" xmlns:xs="http://www.w3.org/2001/XMLSchema" xmlns:p="http://schemas.microsoft.com/office/2006/metadata/properties" xmlns:ns2="cce77f1a-cda1-4588-8f11-5be1719de8d5" xmlns:ns3="edbfb98e-4c84-493c-9131-1b0633e4fe5b" targetNamespace="http://schemas.microsoft.com/office/2006/metadata/properties" ma:root="true" ma:fieldsID="8861e1fe66ccf5ec87787260356364df" ns2:_="" ns3:_="">
    <xsd:import namespace="cce77f1a-cda1-4588-8f11-5be1719de8d5"/>
    <xsd:import namespace="edbfb98e-4c84-493c-9131-1b0633e4fe5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e77f1a-cda1-4588-8f11-5be1719de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fb98e-4c84-493c-9131-1b0633e4fe5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274CE6-7416-4E52-83E2-DE1588C6635E}"/>
</file>

<file path=customXml/itemProps2.xml><?xml version="1.0" encoding="utf-8"?>
<ds:datastoreItem xmlns:ds="http://schemas.openxmlformats.org/officeDocument/2006/customXml" ds:itemID="{25C7BBF9-F5AB-494E-B302-05F7647ABB4A}"/>
</file>

<file path=customXml/itemProps3.xml><?xml version="1.0" encoding="utf-8"?>
<ds:datastoreItem xmlns:ds="http://schemas.openxmlformats.org/officeDocument/2006/customXml" ds:itemID="{7C3EB60B-5C0C-4854-BC8D-F179A15B7C34}"/>
</file>

<file path=docProps/app.xml><?xml version="1.0" encoding="utf-8"?>
<Properties xmlns="http://schemas.openxmlformats.org/officeDocument/2006/extended-properties" xmlns:vt="http://schemas.openxmlformats.org/officeDocument/2006/docPropsVTypes">
  <Application>Microsoft Excel Online</Application>
  <Manager/>
  <Company>NICE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Pearson</dc:creator>
  <cp:keywords/>
  <dc:description/>
  <cp:lastModifiedBy>Ali, Channelle-Ghania</cp:lastModifiedBy>
  <cp:revision/>
  <dcterms:created xsi:type="dcterms:W3CDTF">2011-01-20T09:43:18Z</dcterms:created>
  <dcterms:modified xsi:type="dcterms:W3CDTF">2024-03-27T16:36:58Z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0x01010004DB0CB39C5B5348B4DE2091742626D2</vt:lpwstr>
  </property>
</Properties>
</file>